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635" activeTab="0"/>
  </bookViews>
  <sheets>
    <sheet name="Equations" sheetId="1" r:id="rId1"/>
    <sheet name="ESP oil 700" sheetId="2" r:id="rId2"/>
    <sheet name="ESP oil 370" sheetId="3" r:id="rId3"/>
    <sheet name="ESP oil 150" sheetId="4" r:id="rId4"/>
    <sheet name="ESP oil 70" sheetId="5" r:id="rId5"/>
    <sheet name="ESP oil 50" sheetId="6" r:id="rId6"/>
    <sheet name="ESP 25" sheetId="7" r:id="rId7"/>
  </sheets>
  <definedNames>
    <definedName name="area">'ESP oil 150'!$D$46</definedName>
    <definedName name="buildings">'ESP oil 150'!$F$101</definedName>
    <definedName name="CEindex">'ESP oil 150'!$G$68</definedName>
    <definedName name="costlabor">'ESP oil 150'!$G$70</definedName>
    <definedName name="costpower">'ESP oil 150'!$G$71</definedName>
    <definedName name="costs">'ESP oil 150'!$F$83</definedName>
    <definedName name="costtip">'ESP oil 150'!$G$72</definedName>
    <definedName name="D">'ESP oil 150'!$E$26</definedName>
    <definedName name="DC">'ESP oil 150'!$F$102</definedName>
    <definedName name="DIC">'ESP oil 150'!$F$98</definedName>
    <definedName name="E">'ESP oil 150'!$E$9</definedName>
    <definedName name="e0">'ESP oil 150'!$E$21</definedName>
    <definedName name="Eavg">'ESP oil 150'!$E$22</definedName>
    <definedName name="Ebd">'ESP oil 150'!$E$19</definedName>
    <definedName name="ESCA">'ESP oil 150'!$E$43</definedName>
    <definedName name="flue">'ESP oil 150'!$D$45</definedName>
    <definedName name="hours">'ESP oil 150'!$D$47</definedName>
    <definedName name="IC">'ESP oil 150'!$F$112</definedName>
    <definedName name="interest">'ESP oil 150'!$G$73</definedName>
    <definedName name="LF">'ESP oil 150'!$E$18</definedName>
    <definedName name="life">'ESP oil 150'!$G$74</definedName>
    <definedName name="load">'ESP oil 150'!$F$46</definedName>
    <definedName name="MMDi">'ESP oil 150'!$E$13</definedName>
    <definedName name="MMDp">'ESP oil 150'!$E$16</definedName>
    <definedName name="MMDr">'ESP oil 150'!$E$17</definedName>
    <definedName name="MMDrp">'ESP oil 150'!$E$27</definedName>
    <definedName name="n">'ESP oil 150'!$E$20</definedName>
    <definedName name="No.">'ESP oil 150'!$E$23</definedName>
    <definedName name="p">'ESP oil 150'!$E$10</definedName>
    <definedName name="Pc">'ESP oil 150'!$E$25</definedName>
    <definedName name="PEC">'ESP oil 150'!$F$89</definedName>
    <definedName name="_xlnm.Print_Area" localSheetId="3">'ESP oil 150'!$A$1:$H$147</definedName>
    <definedName name="Ps">'ESP oil 150'!$E$24</definedName>
    <definedName name="Res">'ESP oil 150'!$E$12</definedName>
    <definedName name="RR">'ESP oil 150'!$E$15</definedName>
    <definedName name="signalCE">'ESP oil 150'!$G$69</definedName>
    <definedName name="siteprep">'ESP oil 150'!$F$100</definedName>
    <definedName name="Sn">'ESP oil 150'!$E$14</definedName>
    <definedName name="T">'ESP oil 150'!$E$8</definedName>
    <definedName name="TCI">'ESP oil 150'!$F$114</definedName>
    <definedName name="TCIforyouryear">'ESP oil 150'!$G$115</definedName>
    <definedName name="Tk">'ESP oil 150'!$E$11</definedName>
  </definedNames>
  <calcPr fullCalcOnLoad="1"/>
</workbook>
</file>

<file path=xl/sharedStrings.xml><?xml version="1.0" encoding="utf-8"?>
<sst xmlns="http://schemas.openxmlformats.org/spreadsheetml/2006/main" count="853" uniqueCount="165">
  <si>
    <t>ELECTROSTATIC PRECIPITATORS</t>
  </si>
  <si>
    <t>Case</t>
  </si>
  <si>
    <t>You supply data for boxed cells, see OAQPS  Control Cost Manual</t>
  </si>
  <si>
    <t>SIZING PROCEDURE</t>
  </si>
  <si>
    <t>ESP Type</t>
  </si>
  <si>
    <t>(Flat Plate =2, Plate-Wire=1)</t>
  </si>
  <si>
    <t>Design Efficiency (E)</t>
  </si>
  <si>
    <t>Penetration (p)</t>
  </si>
  <si>
    <t>Temperature (Tk)</t>
  </si>
  <si>
    <t>Resistivity (ohm-cm)</t>
  </si>
  <si>
    <t>MMD(i)</t>
  </si>
  <si>
    <t>Sneakage (Sn)</t>
  </si>
  <si>
    <t>Rapping Reentrainment(RR)</t>
  </si>
  <si>
    <t>MMD(p)</t>
  </si>
  <si>
    <t>MMD(r)</t>
  </si>
  <si>
    <t>Loss Factor (LF)</t>
  </si>
  <si>
    <t>E(bd)</t>
  </si>
  <si>
    <t>(V/m)</t>
  </si>
  <si>
    <t>n (eta)</t>
  </si>
  <si>
    <t>(Kg/md)</t>
  </si>
  <si>
    <t>e(0)</t>
  </si>
  <si>
    <t>(F/m)</t>
  </si>
  <si>
    <t>E(avg)</t>
  </si>
  <si>
    <t>Number of Sections (n)</t>
  </si>
  <si>
    <t>Average Section Penetration (Ps)</t>
  </si>
  <si>
    <t>Collection Penetration (Pc)</t>
  </si>
  <si>
    <t>Particle Size Change Factor (D)</t>
  </si>
  <si>
    <t>MMD(rp)</t>
  </si>
  <si>
    <t>Computed MMD(n)</t>
  </si>
  <si>
    <t>Computed SCA</t>
  </si>
  <si>
    <t>Total SCA</t>
  </si>
  <si>
    <t>Total ESCA</t>
  </si>
  <si>
    <t>EXHAUST VOLUME (acfm)</t>
  </si>
  <si>
    <t>acfm</t>
  </si>
  <si>
    <t xml:space="preserve">Annual Dust Loading </t>
  </si>
  <si>
    <t xml:space="preserve"> </t>
  </si>
  <si>
    <t>Total Collection Area (sq. ft.)</t>
  </si>
  <si>
    <t>sq. ft.</t>
  </si>
  <si>
    <t>grains/cu. ft.</t>
  </si>
  <si>
    <t>Annual Hours of Operations</t>
  </si>
  <si>
    <t>COSTING PROCEDURE</t>
  </si>
  <si>
    <t>Prices include: ESP casing, pyramidal hoppers, rigid electrodes and</t>
  </si>
  <si>
    <t>internal collecting plates, transformer-rectifier sets and microprocessor controls,</t>
  </si>
  <si>
    <t xml:space="preserve">rappers and stub-supports.  (Options include inlet/outler nozzles and </t>
  </si>
  <si>
    <t>diffusion plates, hopper auxiliaries and level detectors, weather enclosure</t>
  </si>
  <si>
    <t>and stair access, structural supports, and 3 in. of fiberglass insulation</t>
  </si>
  <si>
    <t>encased in a metal skin.  Costs also include auxiliary equipment.)</t>
  </si>
  <si>
    <t xml:space="preserve">"Your year" dollars are based on the Chemical Engineering cost index value you </t>
  </si>
  <si>
    <t>specify below.  The base year value (mid 1987) is 320, which should be entered if</t>
  </si>
  <si>
    <t>you do not have a cost index value.  In this case you should not use "your year"</t>
  </si>
  <si>
    <t>values for direct annual costs and should not enter 1 in the second line of the box</t>
  </si>
  <si>
    <t>below.</t>
  </si>
  <si>
    <t xml:space="preserve">"CRF" is a capital recovery factor calculated as described in Chapter 2 of the </t>
  </si>
  <si>
    <t>OAQPS Control Cost Manual and based on interest rate and equipment lifetime.</t>
  </si>
  <si>
    <t>Supply the following data to be used in the costing procedure:</t>
  </si>
  <si>
    <t>Chemical Engineering cost index value for</t>
  </si>
  <si>
    <t xml:space="preserve">     your year (enter base year value of 320 if no other value)</t>
  </si>
  <si>
    <t>If using your year dollar values for direct annual costs, enter 1</t>
  </si>
  <si>
    <t>Operating labor hourly cost without overheads ($12/hr base year)</t>
  </si>
  <si>
    <t>Cost of electricity ($0.06/kWh for base year)</t>
  </si>
  <si>
    <t>Tipping fee for waste disposal ($20/ton for base year)</t>
  </si>
  <si>
    <t>Fractional interest rate for capital (0.07 for base year)</t>
  </si>
  <si>
    <t>Equipment lifetime (20 years for base case)</t>
  </si>
  <si>
    <t>Additional auxiliary costs, base year (1987)</t>
  </si>
  <si>
    <t>Retrofit factor (1.2 to 1.5 typical, use 1 for new installation)</t>
  </si>
  <si>
    <t>Capital Cost Factors for ESPs</t>
  </si>
  <si>
    <t>Direct Costs in base year dollars</t>
  </si>
  <si>
    <t xml:space="preserve">  Purchased Equipment Costs</t>
  </si>
  <si>
    <t xml:space="preserve">    Instrumentation (0.1 x EC)</t>
  </si>
  <si>
    <t xml:space="preserve">    Sales taxes (0.03 x EC)</t>
  </si>
  <si>
    <t xml:space="preserve">    Freight (0.05 x EC)</t>
  </si>
  <si>
    <t>Purchased equipment cost, PEC</t>
  </si>
  <si>
    <t xml:space="preserve">  Direct installation costs in base year dollars</t>
  </si>
  <si>
    <t xml:space="preserve">    Foundations &amp; supports (0.04 x PEC)</t>
  </si>
  <si>
    <t xml:space="preserve">    Handling &amp; erection ().5 x PEC)</t>
  </si>
  <si>
    <t xml:space="preserve">    Electrical (0.08 x PEC)</t>
  </si>
  <si>
    <t xml:space="preserve">    Piping (0.01 x PEC)</t>
  </si>
  <si>
    <t xml:space="preserve">    Insulation for ductwork (0.02 x PEC)</t>
  </si>
  <si>
    <t xml:space="preserve">    Painting (0.02 x PEC)</t>
  </si>
  <si>
    <t>Direct installation costs</t>
  </si>
  <si>
    <t xml:space="preserve">  Site preparation</t>
  </si>
  <si>
    <t xml:space="preserve">  Buildings</t>
  </si>
  <si>
    <t>Total Direct Costs, DC</t>
  </si>
  <si>
    <t>Indirect Costs (installation, in base year dollars)</t>
  </si>
  <si>
    <t xml:space="preserve">    Engineering (0.2 x PEC)</t>
  </si>
  <si>
    <t xml:space="preserve">    Construction and field expenses (0.2 x PEC)</t>
  </si>
  <si>
    <t xml:space="preserve">    Contractor fees (0.1 x PEC)</t>
  </si>
  <si>
    <t xml:space="preserve">    Start-up (0.01 x PEC)</t>
  </si>
  <si>
    <t xml:space="preserve">    Performance test (0.01 x PEC</t>
  </si>
  <si>
    <t xml:space="preserve">    Model study (0.02 x PEC)</t>
  </si>
  <si>
    <t xml:space="preserve">    Contingencies (0.03 x PEC)</t>
  </si>
  <si>
    <t>Total Indirect Costs, IC</t>
  </si>
  <si>
    <t>Total Capital Investment (TCI= (DC + IC) x retrofit)</t>
  </si>
  <si>
    <t xml:space="preserve">       TCI in your year dollars</t>
  </si>
  <si>
    <t xml:space="preserve">     Annual Costs For ESP Systems</t>
  </si>
  <si>
    <t>Direct Annual Costs, DC</t>
  </si>
  <si>
    <t xml:space="preserve">  Operating labor</t>
  </si>
  <si>
    <t xml:space="preserve">    Operator   (3 hrs/day x labor cost )</t>
  </si>
  <si>
    <t xml:space="preserve">    Supervisor    (15 % of operator)</t>
  </si>
  <si>
    <t xml:space="preserve">    Coordinator   (1/3 of operator)</t>
  </si>
  <si>
    <t xml:space="preserve">  Operating materials</t>
  </si>
  <si>
    <t xml:space="preserve">  Maintenance</t>
  </si>
  <si>
    <t xml:space="preserve">    Labor  (based on collector area)</t>
  </si>
  <si>
    <t xml:space="preserve">    Materials   (1% of PEC)</t>
  </si>
  <si>
    <t xml:space="preserve">  Utilities</t>
  </si>
  <si>
    <t xml:space="preserve">    Electricity - fan</t>
  </si>
  <si>
    <t xml:space="preserve">      (0.000181 x flue x pres. drp. x hrs x power cost)</t>
  </si>
  <si>
    <t xml:space="preserve">    Electricity - operating</t>
  </si>
  <si>
    <t xml:space="preserve">      (0.00194 x col. area x hrs x power cost)</t>
  </si>
  <si>
    <t xml:space="preserve">  Waste disposal</t>
  </si>
  <si>
    <t>mile haul</t>
  </si>
  <si>
    <t>(tipping fee + $0.50/ton-mi)</t>
  </si>
  <si>
    <t xml:space="preserve">       Total DC,</t>
  </si>
  <si>
    <t>Indirect Annual Costs, IC</t>
  </si>
  <si>
    <t xml:space="preserve">  Overhead (60% of labor &amp; maint. materials)</t>
  </si>
  <si>
    <t xml:space="preserve">  Administrative charges (0.02 x TCI)</t>
  </si>
  <si>
    <t xml:space="preserve">  Property tax (0.01 x TCI)</t>
  </si>
  <si>
    <t xml:space="preserve">  Insurance (0.01 x TCI)</t>
  </si>
  <si>
    <t xml:space="preserve">  Capital recovery (CRF x TCI)*</t>
  </si>
  <si>
    <t xml:space="preserve">           Total IC ,</t>
  </si>
  <si>
    <t xml:space="preserve">               Total Annual Cost,</t>
  </si>
  <si>
    <t xml:space="preserve">      Auxiliary equipment</t>
  </si>
  <si>
    <t xml:space="preserve">    ESP + auxiliary equipment</t>
  </si>
  <si>
    <t>Size</t>
  </si>
  <si>
    <t>150 MW</t>
  </si>
  <si>
    <t>370 MW</t>
  </si>
  <si>
    <t>700 MW</t>
  </si>
  <si>
    <t>Oil - 150 MW</t>
  </si>
  <si>
    <t>Oil - 370 MW</t>
  </si>
  <si>
    <t xml:space="preserve">  $/acfm</t>
  </si>
  <si>
    <t xml:space="preserve">  $/kW</t>
  </si>
  <si>
    <t xml:space="preserve">  $/MW</t>
  </si>
  <si>
    <t>Oil - 700 MW</t>
  </si>
  <si>
    <t>Costing equations</t>
  </si>
  <si>
    <t>Capital cost, 1999$</t>
  </si>
  <si>
    <t>Annual cost, 1999 $/y</t>
  </si>
  <si>
    <t>Energy usage, kWh/y</t>
  </si>
  <si>
    <t>Solid waste generation, tons/y</t>
  </si>
  <si>
    <t>MW</t>
  </si>
  <si>
    <t>Capital, $</t>
  </si>
  <si>
    <t>Annual, $/y</t>
  </si>
  <si>
    <t>Energy, KWh</t>
  </si>
  <si>
    <t xml:space="preserve">  tons/y-MW</t>
  </si>
  <si>
    <t xml:space="preserve">  kWh/y-MW</t>
  </si>
  <si>
    <t>25MW</t>
  </si>
  <si>
    <t>Oil - 25 MW</t>
  </si>
  <si>
    <t xml:space="preserve">     ESP</t>
  </si>
  <si>
    <r>
      <t>$/ft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 xml:space="preserve"> plate area, 1987 $, ESP only</t>
    </r>
  </si>
  <si>
    <t>$/kW, 1987 $, ESP only</t>
  </si>
  <si>
    <t>-24890Ln(x) + 204138</t>
  </si>
  <si>
    <t>Solid waste, tons/yr-MW</t>
  </si>
  <si>
    <t>-3538.9Ln(x) + 31394</t>
  </si>
  <si>
    <t>Oil - 70 MW</t>
  </si>
  <si>
    <t>50MW</t>
  </si>
  <si>
    <t>Oil - 50 MW</t>
  </si>
  <si>
    <t>70MW</t>
  </si>
  <si>
    <t>&lt;500 MW</t>
  </si>
  <si>
    <t>-162853Ln(x) + 813007</t>
  </si>
  <si>
    <t>-23373Ln(x) + 118878</t>
  </si>
  <si>
    <t>capital</t>
  </si>
  <si>
    <t>annual</t>
  </si>
  <si>
    <t>power</t>
  </si>
  <si>
    <t>solid waste</t>
  </si>
  <si>
    <t>fraction of unit operated at 70 % instead of 80 %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</si>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</sst>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00"/>
    <numFmt numFmtId="166" formatCode="0.00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11" fontId="0" fillId="0" borderId="5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1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5" fontId="0" fillId="0" borderId="8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>
      <alignment horizontal="left"/>
    </xf>
    <xf numFmtId="39" fontId="0" fillId="0" borderId="6" xfId="0" applyNumberFormat="1" applyBorder="1" applyAlignment="1">
      <alignment/>
    </xf>
    <xf numFmtId="11" fontId="0" fillId="0" borderId="5" xfId="0" applyNumberFormat="1" applyBorder="1" applyAlignment="1">
      <alignment/>
    </xf>
    <xf numFmtId="4" fontId="0" fillId="0" borderId="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Capital costs, oil, $/MW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Equations!$H$17:$H$19</c:f>
              <c:numCache>
                <c:ptCount val="3"/>
                <c:pt idx="0">
                  <c:v>150</c:v>
                </c:pt>
                <c:pt idx="1">
                  <c:v>370</c:v>
                </c:pt>
                <c:pt idx="2">
                  <c:v>700</c:v>
                </c:pt>
              </c:numCache>
            </c:numRef>
          </c:xVal>
          <c:yVal>
            <c:numRef>
              <c:f>Equations!$I$17:$I$19</c:f>
              <c:numCache>
                <c:ptCount val="3"/>
                <c:pt idx="0">
                  <c:v>52287.35740083333</c:v>
                </c:pt>
                <c:pt idx="1">
                  <c:v>35383.0273527027</c:v>
                </c:pt>
                <c:pt idx="2">
                  <c:v>27732.178681249996</c:v>
                </c:pt>
              </c:numCache>
            </c:numRef>
          </c:yVal>
          <c:smooth val="1"/>
        </c:ser>
        <c:axId val="35086670"/>
        <c:axId val="53783135"/>
      </c:scatterChart>
      <c:valAx>
        <c:axId val="3508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Unit size,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83135"/>
        <c:crosses val="autoZero"/>
        <c:crossBetween val="midCat"/>
        <c:dispUnits/>
      </c:valAx>
      <c:valAx>
        <c:axId val="5378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Capital cost, 2001 $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6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7394808"/>
        <c:axId val="51129273"/>
      </c:scatterChart>
      <c:valAx>
        <c:axId val="3739480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29273"/>
        <c:crosses val="autoZero"/>
        <c:crossBetween val="midCat"/>
        <c:dispUnits/>
      </c:valAx>
      <c:valAx>
        <c:axId val="5112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9480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28687410"/>
        <c:axId val="24569635"/>
      </c:scatterChart>
      <c:valAx>
        <c:axId val="28687410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69635"/>
        <c:crosses val="autoZero"/>
        <c:crossBetween val="midCat"/>
        <c:dispUnits/>
      </c:valAx>
      <c:valAx>
        <c:axId val="2456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8741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58291916"/>
        <c:axId val="34304877"/>
      </c:scatterChart>
      <c:valAx>
        <c:axId val="5829191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04877"/>
        <c:crosses val="autoZero"/>
        <c:crossBetween val="midCat"/>
        <c:dispUnits/>
      </c:valAx>
      <c:valAx>
        <c:axId val="3430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9191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'ESP oil 150'!$A$156:$G$156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9220934"/>
        <c:axId val="55831191"/>
      </c:scatterChart>
      <c:valAx>
        <c:axId val="922093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31191"/>
        <c:crosses val="autoZero"/>
        <c:crossBetween val="midCat"/>
        <c:dispUnits/>
      </c:valAx>
      <c:valAx>
        <c:axId val="5583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2093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28261280"/>
        <c:axId val="280225"/>
      </c:scatterChart>
      <c:valAx>
        <c:axId val="28261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225"/>
        <c:crosses val="autoZero"/>
        <c:crossBetween val="midCat"/>
        <c:dispUnits/>
      </c:valAx>
      <c:valAx>
        <c:axId val="280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6128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15972826"/>
        <c:axId val="38035851"/>
      </c:scatterChart>
      <c:valAx>
        <c:axId val="15972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35851"/>
        <c:crosses val="autoZero"/>
        <c:crossBetween val="midCat"/>
        <c:dispUnits/>
      </c:valAx>
      <c:valAx>
        <c:axId val="38035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7282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20559860"/>
        <c:axId val="31061333"/>
      </c:scatterChart>
      <c:valAx>
        <c:axId val="20559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61333"/>
        <c:crosses val="autoZero"/>
        <c:crossBetween val="midCat"/>
        <c:dispUnits/>
      </c:valAx>
      <c:valAx>
        <c:axId val="31061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5986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25665518"/>
        <c:axId val="53648383"/>
      </c:scatterChart>
      <c:valAx>
        <c:axId val="25665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48383"/>
        <c:crosses val="autoZero"/>
        <c:crossBetween val="midCat"/>
        <c:dispUnits/>
      </c:valAx>
      <c:valAx>
        <c:axId val="536483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6551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8058952"/>
        <c:axId val="21876617"/>
      </c:scatterChart>
      <c:valAx>
        <c:axId val="38058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76617"/>
        <c:crosses val="autoZero"/>
        <c:crossBetween val="midCat"/>
        <c:dispUnits/>
      </c:valAx>
      <c:valAx>
        <c:axId val="21876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5895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9007618"/>
        <c:axId val="8841715"/>
      </c:scatterChart>
      <c:valAx>
        <c:axId val="39007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41715"/>
        <c:crosses val="autoZero"/>
        <c:crossBetween val="midCat"/>
        <c:dispUnits/>
      </c:valAx>
      <c:valAx>
        <c:axId val="8841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0761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costs, oil, $/y-MW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Equations!$J$17:$J$19</c:f>
              <c:numCache>
                <c:ptCount val="3"/>
                <c:pt idx="0">
                  <c:v>150</c:v>
                </c:pt>
                <c:pt idx="1">
                  <c:v>370</c:v>
                </c:pt>
                <c:pt idx="2">
                  <c:v>700</c:v>
                </c:pt>
              </c:numCache>
            </c:numRef>
          </c:xVal>
          <c:yVal>
            <c:numRef>
              <c:f>Equations!$K$17:$K$19</c:f>
              <c:numCache>
                <c:ptCount val="3"/>
                <c:pt idx="0">
                  <c:v>9594.251633333333</c:v>
                </c:pt>
                <c:pt idx="1">
                  <c:v>7133.54795945946</c:v>
                </c:pt>
                <c:pt idx="2">
                  <c:v>6026.579635714286</c:v>
                </c:pt>
              </c:numCache>
            </c:numRef>
          </c:yVal>
          <c:smooth val="1"/>
        </c:ser>
        <c:axId val="45739816"/>
        <c:axId val="57032681"/>
      </c:scatterChart>
      <c:valAx>
        <c:axId val="4573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Unit size,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2681"/>
        <c:crosses val="autoZero"/>
        <c:crossBetween val="midCat"/>
        <c:dispUnits/>
      </c:valAx>
      <c:valAx>
        <c:axId val="57032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Annual cost, $/y-MW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39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4215708"/>
        <c:axId val="4138301"/>
      </c:scatterChart>
      <c:valAx>
        <c:axId val="34215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8301"/>
        <c:crosses val="autoZero"/>
        <c:crossBetween val="midCat"/>
        <c:dispUnits/>
      </c:valAx>
      <c:valAx>
        <c:axId val="4138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1570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4556566"/>
        <c:axId val="23567207"/>
      </c:scatterChart>
      <c:valAx>
        <c:axId val="34556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67207"/>
        <c:crosses val="autoZero"/>
        <c:crossBetween val="midCat"/>
        <c:dispUnits/>
      </c:valAx>
      <c:valAx>
        <c:axId val="23567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5656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44675"/>
          <c:w val="0.88725"/>
          <c:h val="0.3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1153520"/>
        <c:axId val="65750641"/>
      </c:scatterChart>
      <c:valAx>
        <c:axId val="115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50641"/>
        <c:crosses val="autoZero"/>
        <c:crossBetween val="midCat"/>
        <c:dispUnits/>
      </c:valAx>
      <c:valAx>
        <c:axId val="65750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5352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Energy usage, oil, KWh/y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Equations!$M$13</c:f>
              <c:strCache>
                <c:ptCount val="1"/>
                <c:pt idx="0">
                  <c:v>Energy, KWh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Equations!$L$14:$L$19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Equations!$M$14:$M$19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9637346"/>
        <c:axId val="11607123"/>
      </c:scatterChart>
      <c:valAx>
        <c:axId val="296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Unit size,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7123"/>
        <c:crosses val="autoZero"/>
        <c:crossBetween val="midCat"/>
        <c:dispUnits/>
      </c:valAx>
      <c:valAx>
        <c:axId val="11607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Energy usage, kWh/y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373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Solid waste, oil, tons/yr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Equations!$O$13</c:f>
              <c:strCache>
                <c:ptCount val="1"/>
                <c:pt idx="0">
                  <c:v>Solid waste, tons/yr-MW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Equations!$N$14:$N$19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Equations!$O$14:$O$19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7626236"/>
        <c:axId val="63469981"/>
      </c:scatterChart>
      <c:valAx>
        <c:axId val="5762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Unit size,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9981"/>
        <c:crosses val="autoZero"/>
        <c:crossBetween val="midCat"/>
        <c:dispUnits/>
      </c:valAx>
      <c:valAx>
        <c:axId val="6346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Solid waste generation, tons/y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26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Capital costs, &lt; 70 MW, oil, $/MW-y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Equations!$I$13</c:f>
              <c:strCache>
                <c:ptCount val="1"/>
                <c:pt idx="0">
                  <c:v>Capital, $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Equations!$H$14:$H$16</c:f>
              <c:numCache>
                <c:ptCount val="3"/>
                <c:pt idx="0">
                  <c:v>25</c:v>
                </c:pt>
                <c:pt idx="1">
                  <c:v>50</c:v>
                </c:pt>
                <c:pt idx="2">
                  <c:v>70</c:v>
                </c:pt>
              </c:numCache>
            </c:numRef>
          </c:xVal>
          <c:yVal>
            <c:numRef>
              <c:f>Equations!$I$14:$I$16</c:f>
              <c:numCache>
                <c:ptCount val="3"/>
                <c:pt idx="0">
                  <c:v>195087.3871275</c:v>
                </c:pt>
                <c:pt idx="1">
                  <c:v>112539.90338499998</c:v>
                </c:pt>
                <c:pt idx="2">
                  <c:v>87525.26001874999</c:v>
                </c:pt>
              </c:numCache>
            </c:numRef>
          </c:yVal>
          <c:smooth val="1"/>
        </c:ser>
        <c:axId val="61019126"/>
        <c:axId val="55538119"/>
      </c:scatterChart>
      <c:valAx>
        <c:axId val="61019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Unit size,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38119"/>
        <c:crosses val="autoZero"/>
        <c:crossBetween val="midCat"/>
        <c:dispUnits/>
      </c:valAx>
      <c:valAx>
        <c:axId val="5553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Capital cost, $/MW-y 2001 $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91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costs, &lt;70 MW, oil, $/y-MW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2395"/>
          <c:w val="0.5385"/>
          <c:h val="0.58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Equations!$K$13</c:f>
              <c:strCache>
                <c:ptCount val="1"/>
                <c:pt idx="0">
                  <c:v>Annual, $/y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Equations!$J$14:$J$16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Equations!$K$14:$K$16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1556176"/>
        <c:axId val="54722257"/>
      </c:scatterChart>
      <c:valAx>
        <c:axId val="1155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Unit size,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22257"/>
        <c:crosses val="autoZero"/>
        <c:crossBetween val="midCat"/>
        <c:dispUnits/>
      </c:valAx>
      <c:valAx>
        <c:axId val="5472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Annual cost, $/y-MW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6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2160906"/>
        <c:axId val="21232315"/>
      </c:scatterChart>
      <c:valAx>
        <c:axId val="3216090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32315"/>
        <c:crosses val="autoZero"/>
        <c:crossBetween val="midCat"/>
        <c:dispUnits/>
      </c:valAx>
      <c:valAx>
        <c:axId val="2123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6090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2282404"/>
        <c:axId val="62988165"/>
      </c:scatterChart>
      <c:valAx>
        <c:axId val="228240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88165"/>
        <c:crosses val="autoZero"/>
        <c:crossBetween val="midCat"/>
        <c:dispUnits/>
      </c:valAx>
      <c:valAx>
        <c:axId val="6298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240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Total Annual Cost vs. Efficiency for Electrostatic Precipatators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4455"/>
          <c:w val="0.91325"/>
          <c:h val="0.3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'ESP oil 150'!$A$155:$G$155</c:f>
              <c:numCache>
                <c:ptCount val="7"/>
              </c:numCache>
            </c:numRef>
          </c:xVal>
          <c:yVal>
            <c:numRef>
              <c:f>'ESP oil 150'!$A$156:$G$156</c:f>
              <c:numCache>
                <c:ptCount val="7"/>
              </c:numCache>
            </c:numRef>
          </c:yVal>
          <c:smooth val="0"/>
        </c:ser>
        <c:axId val="33555614"/>
        <c:axId val="33621807"/>
      </c:scatterChart>
      <c:valAx>
        <c:axId val="3355561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REMOVAL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21807"/>
        <c:crosses val="autoZero"/>
        <c:crossBetween val="midCat"/>
        <c:dispUnits/>
      </c:valAx>
      <c:valAx>
        <c:axId val="33621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Helv"/>
                    <a:ea typeface="Helv"/>
                    <a:cs typeface="Helv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5561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22</xdr:row>
      <xdr:rowOff>142875</xdr:rowOff>
    </xdr:from>
    <xdr:to>
      <xdr:col>13</xdr:col>
      <xdr:colOff>66675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381500" y="3705225"/>
        <a:ext cx="36576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36</xdr:row>
      <xdr:rowOff>38100</xdr:rowOff>
    </xdr:from>
    <xdr:to>
      <xdr:col>13</xdr:col>
      <xdr:colOff>47625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4362450" y="5867400"/>
        <a:ext cx="36576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104775</xdr:colOff>
      <xdr:row>22</xdr:row>
      <xdr:rowOff>133350</xdr:rowOff>
    </xdr:from>
    <xdr:to>
      <xdr:col>20</xdr:col>
      <xdr:colOff>133350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8686800" y="3695700"/>
        <a:ext cx="370522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36</xdr:row>
      <xdr:rowOff>66675</xdr:rowOff>
    </xdr:from>
    <xdr:to>
      <xdr:col>20</xdr:col>
      <xdr:colOff>171450</xdr:colOff>
      <xdr:row>47</xdr:row>
      <xdr:rowOff>142875</xdr:rowOff>
    </xdr:to>
    <xdr:graphicFrame>
      <xdr:nvGraphicFramePr>
        <xdr:cNvPr id="4" name="Chart 4"/>
        <xdr:cNvGraphicFramePr/>
      </xdr:nvGraphicFramePr>
      <xdr:xfrm>
        <a:off x="8724900" y="5895975"/>
        <a:ext cx="370522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50</xdr:row>
      <xdr:rowOff>76200</xdr:rowOff>
    </xdr:from>
    <xdr:to>
      <xdr:col>13</xdr:col>
      <xdr:colOff>28575</xdr:colOff>
      <xdr:row>61</xdr:row>
      <xdr:rowOff>152400</xdr:rowOff>
    </xdr:to>
    <xdr:graphicFrame>
      <xdr:nvGraphicFramePr>
        <xdr:cNvPr id="5" name="Chart 5"/>
        <xdr:cNvGraphicFramePr/>
      </xdr:nvGraphicFramePr>
      <xdr:xfrm>
        <a:off x="4410075" y="8172450"/>
        <a:ext cx="35909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228600</xdr:colOff>
      <xdr:row>50</xdr:row>
      <xdr:rowOff>123825</xdr:rowOff>
    </xdr:from>
    <xdr:to>
      <xdr:col>20</xdr:col>
      <xdr:colOff>142875</xdr:colOff>
      <xdr:row>62</xdr:row>
      <xdr:rowOff>38100</xdr:rowOff>
    </xdr:to>
    <xdr:graphicFrame>
      <xdr:nvGraphicFramePr>
        <xdr:cNvPr id="6" name="Chart 6"/>
        <xdr:cNvGraphicFramePr/>
      </xdr:nvGraphicFramePr>
      <xdr:xfrm>
        <a:off x="8810625" y="8220075"/>
        <a:ext cx="3590925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1</cdr:x>
      <cdr:y>0.57175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5143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207db8c-bef8-4600-be1c-4a7dd98f6267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0.81475</cdr:x>
      <cdr:y>0.4235</cdr:y>
    </cdr:from>
    <cdr:to>
      <cdr:x>1</cdr:x>
      <cdr:y>0.54125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7429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0.975</cdr:x>
      <cdr:y>0.551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3619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db9740f5-7137-465b-bb0f-0ccab4bbb350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1" name="Chart 4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cc00eb3-ec40-42a4-a463-e917bf44ac95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0.82175</cdr:x>
      <cdr:y>0.4265</cdr:y>
    </cdr:from>
    <cdr:to>
      <cdr:x>0.82175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85a0d328-8272-4359-a064-890c5ea930a2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02fba2-8351-4dde-bc79-6f390c88c032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0.82025</cdr:x>
      <cdr:y>0.4265</cdr:y>
    </cdr:from>
    <cdr:to>
      <cdr:x>0.82025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153facb-19a2-4cc8-8123-43430f8a5dcb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a817990-c968-4757-81e6-5c4072a722ae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0.82025</cdr:x>
      <cdr:y>0.4265</cdr:y>
    </cdr:from>
    <cdr:to>
      <cdr:x>0.82025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2032dbf8-593e-4211-92ea-266a73260df5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1" name="Chart 1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2" name="Chart 2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3" name="Chart 3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7863bf-cdfa-43e4-a9ce-5c1b978f0d0d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0.82175</cdr:x>
      <cdr:y>0.4265</cdr:y>
    </cdr:from>
    <cdr:to>
      <cdr:x>0.82175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c6ea9927-9812-499e-a368-aec15ad5f31d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151c24a-fd88-486a-9398-d5dfd82f63f5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0.82025</cdr:x>
      <cdr:y>0.4265</cdr:y>
    </cdr:from>
    <cdr:to>
      <cdr:x>0.82025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52f25ff-3a1a-4dc4-9127-4477a92fa839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5b8acfc-110f-4dab-8e8e-b32ec037dec7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0.82025</cdr:x>
      <cdr:y>0.4265</cdr:y>
    </cdr:from>
    <cdr:to>
      <cdr:x>0.82025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2802b544-4e1e-421a-943b-b53e9cf6c58f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1" name="Chart 1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2" name="Chart 2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3" name="Chart 3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0.8285</cdr:x>
      <cdr:y>0.454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6e69ce2-605b-46ad-af6a-281245ae0e0d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0.813</cdr:x>
      <cdr:y>0.4235</cdr:y>
    </cdr:from>
    <cdr:to>
      <cdr:x>0.813</cdr:x>
      <cdr:y>0.4235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0.848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22ffafef-67df-4e9d-a00b-da745fe74fb3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6e1fa9-3229-4509-a8c7-651fc9beb518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0.82175</cdr:x>
      <cdr:y>0.4265</cdr:y>
    </cdr:from>
    <cdr:to>
      <cdr:x>0.82175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f001024-7146-4ad0-ae59-853168fcf5db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eea1e8a-7855-4bc7-8bcd-34d97eb4fc33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0.82025</cdr:x>
      <cdr:y>0.4265</cdr:y>
    </cdr:from>
    <cdr:to>
      <cdr:x>0.82025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7126ee09-966f-43f9-b636-a4784b549d01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0.457</cdr:y>
    </cdr:from>
    <cdr:to>
      <cdr:x>0.835</cdr:x>
      <cdr:y>0.457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717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1c545fa-4ff0-4312-a0bd-c33985f58692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0.82025</cdr:x>
      <cdr:y>0.4265</cdr:y>
    </cdr:from>
    <cdr:to>
      <cdr:x>0.82025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0.854</cdr:x>
      <cdr:y>0.436</cdr:y>
    </cdr:from>
    <cdr:to>
      <cdr:x>0.854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0.486</cdr:x>
      <cdr:y>0.344</cdr:y>
    </cdr:from>
    <cdr:to>
      <cdr:x>0.864</cdr:x>
      <cdr:y>0.46175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81125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d41ba293-2bd5-4f58-a3ef-79a16058ff89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1" name="Chart 1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2" name="Chart 2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3" name="Chart 3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0.8285</cdr:x>
      <cdr:y>0.454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05ed5c8-a635-4337-a37c-3bb1002cbd0d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0.813</cdr:x>
      <cdr:y>0.4235</cdr:y>
    </cdr:from>
    <cdr:to>
      <cdr:x>0.813</cdr:x>
      <cdr:y>0.4235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0.848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2af5b76c-59df-4796-9e92-b2554148f915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0.8285</cdr:x>
      <cdr:y>0.454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ea96b9-c70b-46e3-9c12-2aacacf54748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0.813</cdr:x>
      <cdr:y>0.4235</cdr:y>
    </cdr:from>
    <cdr:to>
      <cdr:x>0.813</cdr:x>
      <cdr:y>0.4235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0.848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41853de7-df48-4aad-88c6-24063105235a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0.8285</cdr:x>
      <cdr:y>0.454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a64077-5762-46ba-899e-8dd9d1a5fbd4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0.813</cdr:x>
      <cdr:y>0.4235</cdr:y>
    </cdr:from>
    <cdr:to>
      <cdr:x>0.813</cdr:x>
      <cdr:y>0.4235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0.848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a4359419-525c-4071-b607-9d471881d9d3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1" name="Chart 1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2" name="Chart 2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3" name="Chart 3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4" name="Chart 4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0.8285</cdr:x>
      <cdr:y>0.454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129771-3667-4586-9e6c-755e8a363f92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0.813</cdr:x>
      <cdr:y>0.4235</cdr:y>
    </cdr:from>
    <cdr:to>
      <cdr:x>0.813</cdr:x>
      <cdr:y>0.4235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0.848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3b2c7377-89ab-4b47-9a81-7503c58ecb83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0.454</cdr:y>
    </cdr:from>
    <cdr:to>
      <cdr:x>0.8285</cdr:x>
      <cdr:y>0.454</cdr:y>
    </cdr:to>
    <cdr:sp textlink="'ESP oil 150'!$D$45">
      <cdr:nvSpPr>
        <cdr:cNvPr id="1" name="TextBox 1"/>
        <cdr:cNvSpPr txBox="1">
          <a:spLocks noChangeArrowheads="1"/>
        </cdr:cNvSpPr>
      </cdr:nvSpPr>
      <cdr:spPr>
        <a:xfrm>
          <a:off x="2352675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a6c3e7-e168-4893-b0cd-df7b9f27e363}" type="TxLink">
            <a:rPr lang="en-US" cap="none" sz="1000" b="0" i="0" u="none" baseline="0">
              <a:latin typeface="Helv"/>
              <a:ea typeface="Helv"/>
              <a:cs typeface="Helv"/>
            </a:rPr>
            <a:t>458,400</a:t>
          </a:fld>
        </a:p>
      </cdr:txBody>
    </cdr:sp>
  </cdr:relSizeAnchor>
  <cdr:relSizeAnchor xmlns:cdr="http://schemas.openxmlformats.org/drawingml/2006/chartDrawing">
    <cdr:from>
      <cdr:x>0.813</cdr:x>
      <cdr:y>0.4235</cdr:y>
    </cdr:from>
    <cdr:to>
      <cdr:x>0.813</cdr:x>
      <cdr:y>0.4235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Throughput</a:t>
          </a:r>
        </a:p>
      </cdr:txBody>
    </cdr:sp>
  </cdr:relSizeAnchor>
  <cdr:relSizeAnchor xmlns:cdr="http://schemas.openxmlformats.org/drawingml/2006/chartDrawing">
    <cdr:from>
      <cdr:x>0.848</cdr:x>
      <cdr:y>0.43325</cdr:y>
    </cdr:from>
    <cdr:to>
      <cdr:x>0.848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77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acfm</a:t>
          </a:r>
        </a:p>
      </cdr:txBody>
    </cdr:sp>
  </cdr:relSizeAnchor>
  <cdr:relSizeAnchor xmlns:cdr="http://schemas.openxmlformats.org/drawingml/2006/chartDrawing">
    <cdr:from>
      <cdr:x>0.4705</cdr:x>
      <cdr:y>0.34525</cdr:y>
    </cdr:from>
    <cdr:to>
      <cdr:x>0.8485</cdr:x>
      <cdr:y>0.463</cdr:y>
    </cdr:to>
    <cdr:sp textlink="'ESP oil 150'!$D$7">
      <cdr:nvSpPr>
        <cdr:cNvPr id="4" name="TextBox 4"/>
        <cdr:cNvSpPr txBox="1">
          <a:spLocks noChangeArrowheads="1"/>
        </cdr:cNvSpPr>
      </cdr:nvSpPr>
      <cdr:spPr>
        <a:xfrm>
          <a:off x="1333500" y="609600"/>
          <a:ext cx="10763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38ca957f-bcd9-4075-be07-184f6171ccdf}" type="TxLink">
            <a:rPr lang="en-US" cap="none" sz="1000" b="0" i="0" u="none" baseline="0">
              <a:latin typeface="Helv"/>
              <a:ea typeface="Helv"/>
              <a:cs typeface="Helv"/>
            </a:rPr>
            <a:t>Flat Plate Design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1" name="Chart 1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166</xdr:row>
      <xdr:rowOff>28575</xdr:rowOff>
    </xdr:from>
    <xdr:to>
      <xdr:col>5</xdr:col>
      <xdr:colOff>600075</xdr:colOff>
      <xdr:row>177</xdr:row>
      <xdr:rowOff>28575</xdr:rowOff>
    </xdr:to>
    <xdr:graphicFrame>
      <xdr:nvGraphicFramePr>
        <xdr:cNvPr id="2" name="Chart 2"/>
        <xdr:cNvGraphicFramePr/>
      </xdr:nvGraphicFramePr>
      <xdr:xfrm>
        <a:off x="1362075" y="27317700"/>
        <a:ext cx="28479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 topLeftCell="A1">
      <selection activeCell="A1" sqref="A1"/>
    </sheetView>
  </sheetViews>
  <sheetFormatPr defaultColWidth="9.140625" defaultRowHeight="12.75"/>
  <cols>
    <col min="13" max="13" width="9.8515625" style="0" bestFit="1" customWidth="1"/>
    <col min="15" max="15" width="9.421875" style="0" bestFit="1" customWidth="1"/>
  </cols>
  <sheetData>
    <row r="1" spans="1:2" ht="12.75">
      <c r="A1" t="s">
        <v>123</v>
      </c>
      <c r="B1" t="s">
        <v>33</v>
      </c>
    </row>
    <row r="2" spans="1:2" ht="12.75">
      <c r="A2" t="s">
        <v>144</v>
      </c>
      <c r="B2">
        <f>25*3056</f>
        <v>76400</v>
      </c>
    </row>
    <row r="3" spans="1:2" ht="12.75">
      <c r="A3" t="s">
        <v>153</v>
      </c>
      <c r="B3">
        <f>50*3056</f>
        <v>152800</v>
      </c>
    </row>
    <row r="4" spans="1:2" ht="12.75">
      <c r="A4" t="s">
        <v>155</v>
      </c>
      <c r="B4">
        <f>70*3056</f>
        <v>213920</v>
      </c>
    </row>
    <row r="5" spans="1:2" ht="12.75">
      <c r="A5" t="s">
        <v>124</v>
      </c>
      <c r="B5" s="11">
        <f>150*3056</f>
        <v>458400</v>
      </c>
    </row>
    <row r="6" spans="1:2" ht="12.75">
      <c r="A6" t="s">
        <v>125</v>
      </c>
      <c r="B6" s="11">
        <f>3056*370</f>
        <v>1130720</v>
      </c>
    </row>
    <row r="7" spans="1:2" ht="12.75">
      <c r="A7" t="s">
        <v>126</v>
      </c>
      <c r="B7" s="11">
        <f>3056*700</f>
        <v>2139200</v>
      </c>
    </row>
    <row r="11" ht="12.75">
      <c r="A11" t="s">
        <v>133</v>
      </c>
    </row>
    <row r="12" spans="2:28" ht="12.75">
      <c r="B12" t="s">
        <v>134</v>
      </c>
      <c r="C12" t="s">
        <v>135</v>
      </c>
      <c r="D12" t="s">
        <v>136</v>
      </c>
      <c r="E12" t="s">
        <v>137</v>
      </c>
      <c r="AB12" t="s">
        <v>163</v>
      </c>
    </row>
    <row r="13" spans="8:34" ht="12.75">
      <c r="H13" t="s">
        <v>138</v>
      </c>
      <c r="I13" t="s">
        <v>139</v>
      </c>
      <c r="J13" t="s">
        <v>138</v>
      </c>
      <c r="K13" t="s">
        <v>140</v>
      </c>
      <c r="L13" t="s">
        <v>138</v>
      </c>
      <c r="M13" t="s">
        <v>141</v>
      </c>
      <c r="N13" t="s">
        <v>138</v>
      </c>
      <c r="O13" t="s">
        <v>150</v>
      </c>
      <c r="R13" t="s">
        <v>138</v>
      </c>
      <c r="S13" t="s">
        <v>139</v>
      </c>
      <c r="T13" t="s">
        <v>138</v>
      </c>
      <c r="U13" t="s">
        <v>140</v>
      </c>
      <c r="V13" t="s">
        <v>138</v>
      </c>
      <c r="W13" t="s">
        <v>141</v>
      </c>
      <c r="X13" t="s">
        <v>138</v>
      </c>
      <c r="Y13" t="s">
        <v>150</v>
      </c>
      <c r="AB13" t="s">
        <v>159</v>
      </c>
      <c r="AD13" t="s">
        <v>160</v>
      </c>
      <c r="AF13" t="s">
        <v>161</v>
      </c>
      <c r="AH13" t="s">
        <v>162</v>
      </c>
    </row>
    <row r="14" spans="8:34" ht="12.75">
      <c r="H14">
        <v>25</v>
      </c>
      <c r="I14" s="11">
        <f>'ESP 25'!H117</f>
        <v>195087.3871275</v>
      </c>
      <c r="J14">
        <v>25</v>
      </c>
      <c r="K14" s="55">
        <f>'ESP 25'!H148</f>
        <v>30656.5807375</v>
      </c>
      <c r="L14">
        <v>25</v>
      </c>
      <c r="M14" s="11">
        <f>'ESP 25'!G130</f>
        <v>24688.66666666667</v>
      </c>
      <c r="N14">
        <v>25</v>
      </c>
      <c r="O14" s="57">
        <f>'ESP 25'!G134</f>
        <v>0.16253554285714286</v>
      </c>
      <c r="R14">
        <v>25</v>
      </c>
      <c r="S14" s="11">
        <v>291844.8179045</v>
      </c>
      <c r="T14">
        <v>25</v>
      </c>
      <c r="U14" s="55">
        <v>44081.100737500004</v>
      </c>
      <c r="V14">
        <v>25</v>
      </c>
      <c r="W14" s="11">
        <v>28872.66666666667</v>
      </c>
      <c r="X14">
        <v>25</v>
      </c>
      <c r="Y14" s="57">
        <v>0.16253554285714286</v>
      </c>
      <c r="AB14">
        <f>I14/S14</f>
        <v>0.6684627417004135</v>
      </c>
      <c r="AC14">
        <f>J14/T14</f>
        <v>1</v>
      </c>
      <c r="AD14">
        <f>K14/U14</f>
        <v>0.6954586029976402</v>
      </c>
      <c r="AE14">
        <f aca="true" t="shared" si="0" ref="AE14:AF19">L14/V14</f>
        <v>1</v>
      </c>
      <c r="AF14">
        <f t="shared" si="0"/>
        <v>0.8550878570274077</v>
      </c>
      <c r="AG14">
        <f aca="true" t="shared" si="1" ref="AG14:AG19">N14/X14</f>
        <v>1</v>
      </c>
      <c r="AH14">
        <f aca="true" t="shared" si="2" ref="AH14:AH19">O14/Y14</f>
        <v>1</v>
      </c>
    </row>
    <row r="15" spans="8:34" ht="12.75">
      <c r="H15">
        <v>50</v>
      </c>
      <c r="I15" s="11">
        <f>'ESP oil 50'!H117</f>
        <v>112539.90338499998</v>
      </c>
      <c r="J15">
        <v>50</v>
      </c>
      <c r="K15" s="55">
        <f>'ESP oil 50'!H148</f>
        <v>18455.21036875</v>
      </c>
      <c r="L15">
        <v>50</v>
      </c>
      <c r="M15" s="11">
        <f>'ESP oil 50'!G130</f>
        <v>24689</v>
      </c>
      <c r="N15">
        <v>50</v>
      </c>
      <c r="O15" s="57">
        <f>'ESP oil 50'!G134</f>
        <v>0.16253554285714286</v>
      </c>
      <c r="R15">
        <v>50</v>
      </c>
      <c r="S15" s="11">
        <v>166618.25977474998</v>
      </c>
      <c r="T15">
        <v>50</v>
      </c>
      <c r="U15" s="55">
        <v>26105.35036875</v>
      </c>
      <c r="V15">
        <v>50</v>
      </c>
      <c r="W15" s="11">
        <v>28873</v>
      </c>
      <c r="X15">
        <v>50</v>
      </c>
      <c r="Y15" s="57">
        <v>0.16253554285714286</v>
      </c>
      <c r="AB15">
        <f aca="true" t="shared" si="3" ref="AB15:AD19">I15/S15</f>
        <v>0.6754355947369866</v>
      </c>
      <c r="AC15">
        <f t="shared" si="3"/>
        <v>1</v>
      </c>
      <c r="AD15">
        <f t="shared" si="3"/>
        <v>0.7069512612572412</v>
      </c>
      <c r="AE15">
        <f t="shared" si="0"/>
        <v>1</v>
      </c>
      <c r="AF15">
        <f t="shared" si="0"/>
        <v>0.8550895300107366</v>
      </c>
      <c r="AG15">
        <f t="shared" si="1"/>
        <v>1</v>
      </c>
      <c r="AH15">
        <f t="shared" si="2"/>
        <v>1</v>
      </c>
    </row>
    <row r="16" spans="1:34" ht="12.75">
      <c r="A16" t="s">
        <v>156</v>
      </c>
      <c r="B16" t="s">
        <v>157</v>
      </c>
      <c r="C16" t="s">
        <v>158</v>
      </c>
      <c r="D16">
        <v>28873</v>
      </c>
      <c r="E16">
        <v>0.163</v>
      </c>
      <c r="H16">
        <v>70</v>
      </c>
      <c r="I16" s="11">
        <f>'ESP oil 70'!H117</f>
        <v>87525.26001874999</v>
      </c>
      <c r="J16">
        <v>70</v>
      </c>
      <c r="K16" s="55">
        <f>'ESP oil 70'!H148</f>
        <v>14765.335977678571</v>
      </c>
      <c r="L16">
        <v>70</v>
      </c>
      <c r="M16" s="11">
        <f>'ESP oil 70'!G130</f>
        <v>24689.047619047622</v>
      </c>
      <c r="N16">
        <v>70</v>
      </c>
      <c r="O16" s="57">
        <f>'ESP oil 70'!G134</f>
        <v>0.16253554285714286</v>
      </c>
      <c r="R16">
        <v>70</v>
      </c>
      <c r="S16" s="11">
        <v>127391.81912125001</v>
      </c>
      <c r="T16">
        <v>70</v>
      </c>
      <c r="U16" s="55">
        <v>20479.3535</v>
      </c>
      <c r="V16">
        <v>70</v>
      </c>
      <c r="W16" s="11">
        <v>28873.09523809524</v>
      </c>
      <c r="X16">
        <v>70</v>
      </c>
      <c r="Y16" s="57">
        <v>0.16253554285714286</v>
      </c>
      <c r="AB16">
        <f t="shared" si="3"/>
        <v>0.6870555787844155</v>
      </c>
      <c r="AC16">
        <f t="shared" si="3"/>
        <v>1</v>
      </c>
      <c r="AD16">
        <f t="shared" si="3"/>
        <v>0.7209864304397388</v>
      </c>
      <c r="AE16">
        <f t="shared" si="0"/>
        <v>1</v>
      </c>
      <c r="AF16">
        <f t="shared" si="0"/>
        <v>0.855088358745578</v>
      </c>
      <c r="AG16">
        <f t="shared" si="1"/>
        <v>1</v>
      </c>
      <c r="AH16">
        <f t="shared" si="2"/>
        <v>1</v>
      </c>
    </row>
    <row r="17" spans="1:34" ht="12.75">
      <c r="A17" t="s">
        <v>124</v>
      </c>
      <c r="B17" t="s">
        <v>149</v>
      </c>
      <c r="C17" t="s">
        <v>151</v>
      </c>
      <c r="D17">
        <v>28873</v>
      </c>
      <c r="E17">
        <v>0.163</v>
      </c>
      <c r="H17">
        <v>150</v>
      </c>
      <c r="I17" s="11">
        <f>'ESP oil 150'!H117</f>
        <v>52287.35740083333</v>
      </c>
      <c r="J17">
        <v>150</v>
      </c>
      <c r="K17" s="55">
        <f>'ESP oil 150'!H148</f>
        <v>9594.251633333333</v>
      </c>
      <c r="L17">
        <v>150</v>
      </c>
      <c r="M17" s="11">
        <f>'ESP oil 150'!G130</f>
        <v>24689</v>
      </c>
      <c r="N17">
        <v>150</v>
      </c>
      <c r="O17" s="56">
        <f>'ESP oil 150'!G134</f>
        <v>0.16253554285714286</v>
      </c>
      <c r="R17">
        <v>150</v>
      </c>
      <c r="S17" s="11">
        <v>80601.15092575</v>
      </c>
      <c r="T17">
        <v>150</v>
      </c>
      <c r="U17" s="55">
        <v>13829.124966666668</v>
      </c>
      <c r="V17">
        <v>150</v>
      </c>
      <c r="W17" s="11">
        <v>28872.888888888894</v>
      </c>
      <c r="X17">
        <v>150</v>
      </c>
      <c r="Y17" s="56">
        <v>0.16253554285714286</v>
      </c>
      <c r="AB17">
        <f t="shared" si="3"/>
        <v>0.648717255278409</v>
      </c>
      <c r="AC17">
        <f t="shared" si="3"/>
        <v>1</v>
      </c>
      <c r="AD17">
        <f t="shared" si="3"/>
        <v>0.6937714176753081</v>
      </c>
      <c r="AE17">
        <f t="shared" si="0"/>
        <v>1</v>
      </c>
      <c r="AF17">
        <f t="shared" si="0"/>
        <v>0.8550928206391231</v>
      </c>
      <c r="AG17">
        <f t="shared" si="1"/>
        <v>1</v>
      </c>
      <c r="AH17">
        <f t="shared" si="2"/>
        <v>1</v>
      </c>
    </row>
    <row r="18" spans="1:34" ht="12.75">
      <c r="A18" t="s">
        <v>125</v>
      </c>
      <c r="H18">
        <v>370</v>
      </c>
      <c r="I18" s="11">
        <f>'ESP oil 370'!H117</f>
        <v>35383.0273527027</v>
      </c>
      <c r="J18">
        <v>370</v>
      </c>
      <c r="K18" s="55">
        <f>'ESP oil 370'!H148</f>
        <v>7133.54795945946</v>
      </c>
      <c r="L18">
        <v>370</v>
      </c>
      <c r="M18" s="11">
        <f>'ESP oil 370'!G130</f>
        <v>24689.00900900901</v>
      </c>
      <c r="N18">
        <v>370</v>
      </c>
      <c r="O18" s="56">
        <f>'ESP oil 370'!G134</f>
        <v>0.16253554285714286</v>
      </c>
      <c r="R18">
        <v>370</v>
      </c>
      <c r="S18" s="11">
        <v>54110.85507530405</v>
      </c>
      <c r="T18">
        <v>370</v>
      </c>
      <c r="U18" s="55">
        <v>10063.293905405406</v>
      </c>
      <c r="V18">
        <v>370</v>
      </c>
      <c r="W18" s="11">
        <v>28872.972972972973</v>
      </c>
      <c r="X18">
        <v>370</v>
      </c>
      <c r="Y18" s="56">
        <v>0.16253554285714286</v>
      </c>
      <c r="AB18">
        <f t="shared" si="3"/>
        <v>0.6538988767311378</v>
      </c>
      <c r="AC18">
        <f t="shared" si="3"/>
        <v>1</v>
      </c>
      <c r="AD18">
        <f t="shared" si="3"/>
        <v>0.7088680929439753</v>
      </c>
      <c r="AE18">
        <f t="shared" si="0"/>
        <v>1</v>
      </c>
      <c r="AF18">
        <f t="shared" si="0"/>
        <v>0.8550906424537427</v>
      </c>
      <c r="AG18">
        <f t="shared" si="1"/>
        <v>1</v>
      </c>
      <c r="AH18">
        <f t="shared" si="2"/>
        <v>1</v>
      </c>
    </row>
    <row r="19" spans="1:34" ht="12.75">
      <c r="A19" t="s">
        <v>126</v>
      </c>
      <c r="H19">
        <v>700</v>
      </c>
      <c r="I19" s="11">
        <f>'ESP oil 700'!H117</f>
        <v>27732.178681249996</v>
      </c>
      <c r="J19">
        <v>700</v>
      </c>
      <c r="K19" s="55">
        <f>'ESP oil 700'!H148</f>
        <v>6026.579635714286</v>
      </c>
      <c r="L19">
        <v>700</v>
      </c>
      <c r="M19" s="11">
        <f>'ESP oil 700'!G130</f>
        <v>24688.95238095238</v>
      </c>
      <c r="N19">
        <v>700</v>
      </c>
      <c r="O19" s="56">
        <f>'ESP oil 700'!G134</f>
        <v>0.16253554285714286</v>
      </c>
      <c r="R19">
        <v>700</v>
      </c>
      <c r="S19" s="11">
        <v>42749.256337125</v>
      </c>
      <c r="T19">
        <v>700</v>
      </c>
      <c r="U19" s="55">
        <v>8447.103921428572</v>
      </c>
      <c r="V19">
        <v>700</v>
      </c>
      <c r="W19" s="11">
        <v>28872.928571428572</v>
      </c>
      <c r="X19">
        <v>700</v>
      </c>
      <c r="Y19" s="56">
        <v>0.16253554285714286</v>
      </c>
      <c r="AB19">
        <f t="shared" si="3"/>
        <v>0.6487172189043758</v>
      </c>
      <c r="AC19">
        <f t="shared" si="3"/>
        <v>1</v>
      </c>
      <c r="AD19">
        <f t="shared" si="3"/>
        <v>0.7134492119158246</v>
      </c>
      <c r="AE19">
        <f t="shared" si="0"/>
        <v>1</v>
      </c>
      <c r="AF19">
        <f t="shared" si="0"/>
        <v>0.8550899961489713</v>
      </c>
      <c r="AG19">
        <f t="shared" si="1"/>
        <v>1</v>
      </c>
      <c r="AH19">
        <f t="shared" si="2"/>
        <v>1</v>
      </c>
    </row>
    <row r="20" spans="27:34" ht="12.75">
      <c r="AA20" t="s">
        <v>164</v>
      </c>
      <c r="AB20">
        <f>AVERAGE(AB14:AB19)</f>
        <v>0.6637145443559563</v>
      </c>
      <c r="AD20">
        <f>AVERAGE(AD14:AD19)</f>
        <v>0.7065808362049547</v>
      </c>
      <c r="AE20">
        <f>AVERAGE(AE14:AE19)</f>
        <v>1</v>
      </c>
      <c r="AF20">
        <f>AVERAGE(AF14:AF19)</f>
        <v>0.85508986750426</v>
      </c>
      <c r="AG20">
        <f>AVERAGE(AG14:AG19)</f>
        <v>1</v>
      </c>
      <c r="AH20">
        <f>AVERAGE(AH14:AH19)</f>
        <v>1</v>
      </c>
    </row>
    <row r="21" ht="12.75">
      <c r="C21" s="11"/>
    </row>
    <row r="22" ht="12.75">
      <c r="C22" s="11"/>
    </row>
    <row r="23" ht="12.75">
      <c r="C23" s="11"/>
    </row>
    <row r="35" spans="4:6" ht="12.75">
      <c r="D35" s="11"/>
      <c r="E35" s="58"/>
      <c r="F35" s="58"/>
    </row>
    <row r="36" spans="4:6" ht="12.75">
      <c r="D36" s="11"/>
      <c r="E36" s="58"/>
      <c r="F36" s="58"/>
    </row>
    <row r="37" spans="4:6" ht="12.75">
      <c r="D37" s="11"/>
      <c r="E37" s="58"/>
      <c r="F37" s="58"/>
    </row>
    <row r="38" spans="4:5" ht="12.75">
      <c r="D38" s="11"/>
      <c r="E38" s="58"/>
    </row>
    <row r="39" spans="4:5" ht="12.75">
      <c r="D39" s="11"/>
      <c r="E39" s="5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2.28125" style="0" customWidth="1"/>
    <col min="4" max="4" width="11.140625" style="0" customWidth="1"/>
    <col min="5" max="5" width="10.421875" style="0" customWidth="1"/>
    <col min="6" max="6" width="11.421875" style="0" customWidth="1"/>
    <col min="7" max="7" width="12.00390625" style="0" customWidth="1"/>
    <col min="8" max="8" width="10.8515625" style="0" customWidth="1"/>
  </cols>
  <sheetData>
    <row r="1" ht="19.5">
      <c r="D1" s="1" t="s">
        <v>0</v>
      </c>
    </row>
    <row r="2" ht="13.5" thickBot="1"/>
    <row r="3" spans="1:8" ht="13.5" thickBot="1">
      <c r="A3" s="2" t="s">
        <v>1</v>
      </c>
      <c r="B3" s="25" t="s">
        <v>132</v>
      </c>
      <c r="C3" s="16"/>
      <c r="D3" s="16"/>
      <c r="E3" s="16"/>
      <c r="F3" s="16"/>
      <c r="G3" s="17"/>
      <c r="H3">
        <v>700</v>
      </c>
    </row>
    <row r="5" ht="12.75">
      <c r="B5" s="18" t="s">
        <v>2</v>
      </c>
    </row>
    <row r="7" spans="1:4" ht="12.75">
      <c r="A7" s="2" t="s">
        <v>3</v>
      </c>
      <c r="D7" s="2" t="str">
        <f>IF(T=2,"Flat Plate Design","Plate-Wire Design")</f>
        <v>Flat Plate Design</v>
      </c>
    </row>
    <row r="8" spans="2:6" ht="13.5" thickBot="1">
      <c r="B8" s="5" t="s">
        <v>4</v>
      </c>
      <c r="C8" s="5"/>
      <c r="D8" s="5"/>
      <c r="E8" s="12">
        <v>2</v>
      </c>
      <c r="F8" t="s">
        <v>5</v>
      </c>
    </row>
    <row r="9" spans="2:8" ht="13.5" thickBot="1">
      <c r="B9" s="5" t="s">
        <v>6</v>
      </c>
      <c r="C9" s="5"/>
      <c r="D9" s="5"/>
      <c r="E9" s="19">
        <v>0.8</v>
      </c>
      <c r="F9" s="2"/>
      <c r="G9" s="2"/>
      <c r="H9" s="2"/>
    </row>
    <row r="10" spans="2:5" ht="13.5" thickBot="1">
      <c r="B10" s="5" t="s">
        <v>7</v>
      </c>
      <c r="C10" s="5"/>
      <c r="D10" s="5"/>
      <c r="E10" s="10">
        <f>(1-E)</f>
        <v>0.19999999999999996</v>
      </c>
    </row>
    <row r="11" spans="2:8" ht="12.75">
      <c r="B11" s="5" t="s">
        <v>8</v>
      </c>
      <c r="C11" s="5"/>
      <c r="D11" s="5"/>
      <c r="E11" s="20">
        <v>413</v>
      </c>
      <c r="F11" s="9"/>
      <c r="G11" s="9"/>
      <c r="H11" s="9"/>
    </row>
    <row r="12" spans="2:8" ht="12.75">
      <c r="B12" s="5" t="s">
        <v>9</v>
      </c>
      <c r="C12" s="5"/>
      <c r="D12" s="5"/>
      <c r="E12" s="21">
        <v>2000000000</v>
      </c>
      <c r="G12" s="8"/>
      <c r="H12" s="2"/>
    </row>
    <row r="13" spans="2:8" ht="13.5" thickBot="1">
      <c r="B13" s="5" t="s">
        <v>10</v>
      </c>
      <c r="C13" s="5"/>
      <c r="D13" s="5"/>
      <c r="E13" s="26">
        <v>3.5</v>
      </c>
      <c r="F13" s="2"/>
      <c r="G13" s="2"/>
      <c r="H13" s="2"/>
    </row>
    <row r="14" spans="2:8" ht="13.5" thickBot="1">
      <c r="B14" s="5" t="s">
        <v>11</v>
      </c>
      <c r="C14" s="5"/>
      <c r="D14" s="5"/>
      <c r="E14" s="5">
        <f>+IF(T=1,0.07,0.1)</f>
        <v>0.1</v>
      </c>
      <c r="F14" s="2"/>
      <c r="G14" s="2"/>
      <c r="H14" s="2"/>
    </row>
    <row r="15" spans="2:8" ht="12.75">
      <c r="B15" s="5" t="s">
        <v>12</v>
      </c>
      <c r="C15" s="5"/>
      <c r="D15" s="5"/>
      <c r="E15" s="20">
        <v>0.124</v>
      </c>
      <c r="F15" s="2"/>
      <c r="G15" s="2"/>
      <c r="H15" s="2"/>
    </row>
    <row r="16" spans="2:8" ht="13.5" thickBot="1">
      <c r="B16" s="5" t="s">
        <v>13</v>
      </c>
      <c r="C16" s="5"/>
      <c r="D16" s="5"/>
      <c r="E16" s="26">
        <v>2</v>
      </c>
      <c r="F16" s="2"/>
      <c r="G16" s="2"/>
      <c r="H16" s="2"/>
    </row>
    <row r="17" spans="2:8" ht="12.75">
      <c r="B17" s="5" t="s">
        <v>14</v>
      </c>
      <c r="C17" s="5"/>
      <c r="D17" s="5"/>
      <c r="E17" s="27">
        <f>IF(MMDi&lt;5,3,5)</f>
        <v>3</v>
      </c>
      <c r="F17" s="2"/>
      <c r="G17" s="2"/>
      <c r="H17" s="2"/>
    </row>
    <row r="18" spans="2:8" ht="12.75">
      <c r="B18" s="5" t="s">
        <v>15</v>
      </c>
      <c r="C18" s="5"/>
      <c r="D18" s="5"/>
      <c r="E18" s="27">
        <f>+Sn+RR*(1-Sn)</f>
        <v>0.2116</v>
      </c>
      <c r="F18" s="2"/>
      <c r="G18" s="2"/>
      <c r="H18" s="2"/>
    </row>
    <row r="19" spans="2:8" ht="12.75">
      <c r="B19" s="5" t="s">
        <v>16</v>
      </c>
      <c r="C19" s="5"/>
      <c r="D19" s="5"/>
      <c r="E19" s="28">
        <f>630000*(273/Tk)^1.65</f>
        <v>318193.5206075361</v>
      </c>
      <c r="F19" s="5" t="s">
        <v>17</v>
      </c>
      <c r="G19" s="2"/>
      <c r="H19" s="2"/>
    </row>
    <row r="20" spans="2:8" ht="12.75">
      <c r="B20" s="5" t="s">
        <v>18</v>
      </c>
      <c r="C20" s="5"/>
      <c r="D20" s="5"/>
      <c r="E20" s="27">
        <f>0.0000172*(Tk/273)^0.71</f>
        <v>2.30769019164502E-05</v>
      </c>
      <c r="F20" s="5" t="s">
        <v>19</v>
      </c>
      <c r="G20" s="2"/>
      <c r="H20" s="2"/>
    </row>
    <row r="21" spans="2:8" ht="12.75">
      <c r="B21" s="5" t="s">
        <v>20</v>
      </c>
      <c r="C21" s="5"/>
      <c r="D21" s="5"/>
      <c r="E21" s="29">
        <v>8.845E-12</v>
      </c>
      <c r="F21" s="5" t="s">
        <v>21</v>
      </c>
      <c r="G21" s="2"/>
      <c r="H21" s="2"/>
    </row>
    <row r="22" spans="2:8" ht="12.75">
      <c r="B22" s="5" t="s">
        <v>22</v>
      </c>
      <c r="C22" s="5"/>
      <c r="D22" s="5"/>
      <c r="E22" s="28">
        <f>IF(Res&gt;200000000000,IF(T=1,0.7*Ebd/1.75,0.7*Ebd*5/6.3),IF(T=1,Ebd/1.75,Ebd*5/6.3))</f>
        <v>252534.5401647112</v>
      </c>
      <c r="F22" s="2"/>
      <c r="G22" s="2"/>
      <c r="H22" s="2"/>
    </row>
    <row r="23" spans="2:8" ht="12.75">
      <c r="B23" s="5" t="s">
        <v>23</v>
      </c>
      <c r="C23" s="5"/>
      <c r="D23" s="5"/>
      <c r="E23" s="27">
        <f>IF(LF&lt;p,1,IF(LF^2&lt;p,2,IF(LF^3&lt;p,3,IF(LF^4&lt;p,4,IF(LF^5&lt;p,5,IF(LF^6&lt;p,6,IF(LF^7&lt;p,7,0)))))))</f>
        <v>2</v>
      </c>
      <c r="F23" s="2"/>
      <c r="G23" s="2"/>
      <c r="H23" s="2"/>
    </row>
    <row r="24" spans="2:8" ht="12.75">
      <c r="B24" s="5" t="s">
        <v>24</v>
      </c>
      <c r="C24" s="5"/>
      <c r="D24" s="5"/>
      <c r="E24" s="30">
        <f>p^(1/No.)</f>
        <v>0.44721359549995787</v>
      </c>
      <c r="F24" s="2"/>
      <c r="G24" s="2"/>
      <c r="H24" s="2"/>
    </row>
    <row r="25" spans="2:8" ht="12.75">
      <c r="B25" s="5" t="s">
        <v>25</v>
      </c>
      <c r="C25" s="5"/>
      <c r="D25" s="5"/>
      <c r="E25" s="30">
        <f>IF((Ps-LF)/(1-LF)&gt;0,(Ps-LF)/(1-LF),0)</f>
        <v>0.2988503240740206</v>
      </c>
      <c r="F25" s="2"/>
      <c r="G25" s="2"/>
      <c r="H25" s="2"/>
    </row>
    <row r="26" spans="2:8" ht="12.75">
      <c r="B26" s="5" t="s">
        <v>26</v>
      </c>
      <c r="C26" s="5"/>
      <c r="D26" s="5"/>
      <c r="E26" s="30">
        <f>Sn+Pc*(1-Sn)+RR*(1-Sn)*(1-Pc)</f>
        <v>0.4472135954999579</v>
      </c>
      <c r="F26" s="2"/>
      <c r="G26" s="2"/>
      <c r="H26" s="2"/>
    </row>
    <row r="27" spans="2:8" ht="12.75">
      <c r="B27" s="5" t="s">
        <v>27</v>
      </c>
      <c r="C27" s="5"/>
      <c r="D27" s="5"/>
      <c r="E27" s="30">
        <f>RR*(1-Sn)*(1-Pc)*MMDr/D</f>
        <v>0.5249055794862122</v>
      </c>
      <c r="F27" s="2"/>
      <c r="G27" s="2"/>
      <c r="H27" s="2"/>
    </row>
    <row r="28" spans="2:8" ht="12.75">
      <c r="B28" s="5" t="s">
        <v>28</v>
      </c>
      <c r="C28" s="5"/>
      <c r="D28" s="5">
        <v>1</v>
      </c>
      <c r="E28" s="27">
        <f>MMDi</f>
        <v>3.5</v>
      </c>
      <c r="F28" s="2"/>
      <c r="G28" s="2"/>
      <c r="H28" s="2"/>
    </row>
    <row r="29" spans="2:8" ht="12.75">
      <c r="B29" s="2"/>
      <c r="C29" s="2"/>
      <c r="D29" s="5">
        <v>2</v>
      </c>
      <c r="E29" s="31">
        <f aca="true" t="shared" si="0" ref="E29:E34">IF(No.&lt;D29,0,(E28*Sn+((1-Pc)*MMDp+Pc*E28)*Pc)/D+MMDrp)</f>
        <v>2.9435885831581428</v>
      </c>
      <c r="F29" s="2"/>
      <c r="G29" s="2"/>
      <c r="H29" s="2"/>
    </row>
    <row r="30" spans="2:8" ht="12.75">
      <c r="B30" s="2"/>
      <c r="C30" s="2"/>
      <c r="D30" s="5">
        <v>3</v>
      </c>
      <c r="E30" s="31">
        <f t="shared" si="0"/>
        <v>0</v>
      </c>
      <c r="F30" s="2"/>
      <c r="G30" s="2"/>
      <c r="H30" s="2"/>
    </row>
    <row r="31" spans="2:8" ht="12.75">
      <c r="B31" s="2"/>
      <c r="C31" s="2"/>
      <c r="D31" s="5">
        <v>4</v>
      </c>
      <c r="E31" s="31">
        <f t="shared" si="0"/>
        <v>0</v>
      </c>
      <c r="F31" s="2"/>
      <c r="G31" s="2"/>
      <c r="H31" s="2"/>
    </row>
    <row r="32" spans="2:8" ht="12.75">
      <c r="B32" s="2"/>
      <c r="C32" s="2"/>
      <c r="D32" s="5">
        <v>5</v>
      </c>
      <c r="E32" s="31">
        <f t="shared" si="0"/>
        <v>0</v>
      </c>
      <c r="F32" s="2"/>
      <c r="G32" s="2"/>
      <c r="H32" s="2"/>
    </row>
    <row r="33" spans="2:8" ht="12.75">
      <c r="B33" s="2"/>
      <c r="C33" s="2"/>
      <c r="D33" s="5">
        <v>6</v>
      </c>
      <c r="E33" s="31">
        <f t="shared" si="0"/>
        <v>0</v>
      </c>
      <c r="F33" s="2"/>
      <c r="G33" s="2"/>
      <c r="H33" s="2"/>
    </row>
    <row r="34" spans="2:8" ht="12.75">
      <c r="B34" s="2"/>
      <c r="C34" s="2"/>
      <c r="D34" s="5">
        <v>7</v>
      </c>
      <c r="E34" s="31">
        <f t="shared" si="0"/>
        <v>0</v>
      </c>
      <c r="F34" s="2"/>
      <c r="G34" s="2"/>
      <c r="H34" s="2"/>
    </row>
    <row r="35" spans="2:8" ht="12.75">
      <c r="B35" t="s">
        <v>29</v>
      </c>
      <c r="C35" s="2"/>
      <c r="D35" s="5">
        <v>1</v>
      </c>
      <c r="E35" s="32">
        <f aca="true" t="shared" si="1" ref="E35:E41">IF(No.&lt;D35,0,-(n/e0)*(1-Sn)*LN(Pc)/(Eavg^2*E28*0.000001))</f>
        <v>12.706093577977311</v>
      </c>
      <c r="F35" s="2"/>
      <c r="G35" s="2"/>
      <c r="H35" s="2"/>
    </row>
    <row r="36" spans="2:5" ht="12.75">
      <c r="B36" s="3"/>
      <c r="D36">
        <v>2</v>
      </c>
      <c r="E36" s="32">
        <f t="shared" si="1"/>
        <v>15.10786112480699</v>
      </c>
    </row>
    <row r="37" spans="4:6" ht="12.75">
      <c r="D37">
        <v>3</v>
      </c>
      <c r="E37" s="32">
        <f t="shared" si="1"/>
        <v>0</v>
      </c>
      <c r="F37" s="13"/>
    </row>
    <row r="38" spans="4:6" ht="12.75">
      <c r="D38">
        <v>4</v>
      </c>
      <c r="E38" s="32">
        <f t="shared" si="1"/>
        <v>0</v>
      </c>
      <c r="F38" s="13"/>
    </row>
    <row r="39" spans="4:6" ht="12.75">
      <c r="D39">
        <v>5</v>
      </c>
      <c r="E39" s="32">
        <f t="shared" si="1"/>
        <v>0</v>
      </c>
      <c r="F39" s="14"/>
    </row>
    <row r="40" spans="4:6" ht="12.75">
      <c r="D40">
        <v>6</v>
      </c>
      <c r="E40" s="32">
        <f t="shared" si="1"/>
        <v>0</v>
      </c>
      <c r="F40" s="14"/>
    </row>
    <row r="41" spans="4:6" ht="12.75">
      <c r="D41">
        <v>7</v>
      </c>
      <c r="E41" s="32">
        <f t="shared" si="1"/>
        <v>0</v>
      </c>
      <c r="F41" s="4"/>
    </row>
    <row r="42" spans="2:5" ht="12.75">
      <c r="B42" t="s">
        <v>30</v>
      </c>
      <c r="E42" s="14">
        <f>SUM(E35:E41)</f>
        <v>27.8139547027843</v>
      </c>
    </row>
    <row r="43" spans="2:5" ht="12.75">
      <c r="B43" t="s">
        <v>31</v>
      </c>
      <c r="E43" s="14">
        <f>+E42*5.08</f>
        <v>141.29488989014425</v>
      </c>
    </row>
    <row r="44" ht="13.5" thickBot="1"/>
    <row r="45" spans="1:9" ht="13.5" thickBot="1">
      <c r="A45" t="s">
        <v>32</v>
      </c>
      <c r="D45" s="22">
        <v>2139200</v>
      </c>
      <c r="E45" s="34" t="s">
        <v>33</v>
      </c>
      <c r="F45" s="34" t="s">
        <v>34</v>
      </c>
      <c r="G45" s="34"/>
      <c r="I45" t="s">
        <v>35</v>
      </c>
    </row>
    <row r="46" spans="1:7" ht="13.5" thickBot="1">
      <c r="A46" t="s">
        <v>36</v>
      </c>
      <c r="D46" s="11">
        <f>+D45/1000*E43</f>
        <v>302258.0284529966</v>
      </c>
      <c r="E46" s="34" t="s">
        <v>37</v>
      </c>
      <c r="F46" s="51">
        <v>0.1</v>
      </c>
      <c r="G46" s="34" t="s">
        <v>38</v>
      </c>
    </row>
    <row r="47" spans="1:4" ht="13.5" thickBot="1">
      <c r="A47" t="s">
        <v>39</v>
      </c>
      <c r="D47" s="33">
        <v>7446</v>
      </c>
    </row>
    <row r="48" spans="1:7" ht="12.75">
      <c r="A48" s="35" t="s">
        <v>40</v>
      </c>
      <c r="B48" s="34"/>
      <c r="C48" s="34"/>
      <c r="D48" s="34"/>
      <c r="E48" s="34"/>
      <c r="F48" s="34"/>
      <c r="G48" s="34"/>
    </row>
    <row r="49" spans="1:7" ht="12.75">
      <c r="A49" s="34"/>
      <c r="B49" s="34" t="s">
        <v>41</v>
      </c>
      <c r="C49" s="34"/>
      <c r="D49" s="34"/>
      <c r="E49" s="34"/>
      <c r="F49" s="34"/>
      <c r="G49" s="34"/>
    </row>
    <row r="50" spans="1:7" ht="12.75">
      <c r="A50" s="35"/>
      <c r="B50" s="34" t="s">
        <v>42</v>
      </c>
      <c r="C50" s="34"/>
      <c r="D50" s="34"/>
      <c r="E50" s="34"/>
      <c r="F50" s="34"/>
      <c r="G50" s="34"/>
    </row>
    <row r="51" spans="1:7" ht="12.75">
      <c r="A51" s="35"/>
      <c r="B51" s="34" t="s">
        <v>43</v>
      </c>
      <c r="C51" s="34"/>
      <c r="D51" s="34"/>
      <c r="E51" s="34"/>
      <c r="F51" s="34"/>
      <c r="G51" s="34"/>
    </row>
    <row r="52" spans="1:7" ht="12.75">
      <c r="A52" s="35"/>
      <c r="B52" s="34" t="s">
        <v>44</v>
      </c>
      <c r="C52" s="34"/>
      <c r="D52" s="34"/>
      <c r="E52" s="34"/>
      <c r="F52" s="34"/>
      <c r="G52" s="34"/>
    </row>
    <row r="53" spans="1:7" ht="12.75">
      <c r="A53" s="34"/>
      <c r="B53" s="34" t="s">
        <v>45</v>
      </c>
      <c r="C53" s="34"/>
      <c r="D53" s="34"/>
      <c r="E53" s="34"/>
      <c r="F53" s="34"/>
      <c r="G53" s="34"/>
    </row>
    <row r="54" spans="1:7" ht="12.75">
      <c r="A54" s="34"/>
      <c r="B54" s="34" t="s">
        <v>46</v>
      </c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6" t="s">
        <v>47</v>
      </c>
      <c r="C56" s="34"/>
      <c r="D56" s="34"/>
      <c r="E56" s="34"/>
      <c r="F56" s="34"/>
      <c r="G56" s="34"/>
    </row>
    <row r="57" spans="1:7" ht="12.75">
      <c r="A57" s="34"/>
      <c r="B57" s="36" t="s">
        <v>48</v>
      </c>
      <c r="C57" s="34"/>
      <c r="D57" s="34"/>
      <c r="E57" s="34"/>
      <c r="F57" s="34"/>
      <c r="G57" s="34"/>
    </row>
    <row r="58" spans="1:7" ht="12.75">
      <c r="A58" s="34"/>
      <c r="B58" s="36" t="s">
        <v>49</v>
      </c>
      <c r="C58" s="34"/>
      <c r="D58" s="34"/>
      <c r="E58" s="34"/>
      <c r="F58" s="34"/>
      <c r="G58" s="34"/>
    </row>
    <row r="59" spans="1:7" ht="12.75">
      <c r="A59" s="34"/>
      <c r="B59" s="37" t="s">
        <v>50</v>
      </c>
      <c r="C59" s="34"/>
      <c r="D59" s="34"/>
      <c r="E59" s="34"/>
      <c r="F59" s="34"/>
      <c r="G59" s="34"/>
    </row>
    <row r="60" spans="1:7" ht="12.75">
      <c r="A60" s="34"/>
      <c r="B60" s="37" t="s">
        <v>51</v>
      </c>
      <c r="C60" s="34"/>
      <c r="D60" s="34"/>
      <c r="E60" s="34"/>
      <c r="F60" s="34"/>
      <c r="G60" s="34"/>
    </row>
    <row r="61" spans="1:7" ht="12.75">
      <c r="A61" s="34"/>
      <c r="B61" s="37"/>
      <c r="C61" s="34"/>
      <c r="D61" s="34"/>
      <c r="E61" s="34"/>
      <c r="F61" s="34"/>
      <c r="G61" s="34"/>
    </row>
    <row r="62" spans="1:7" ht="12.75">
      <c r="A62" s="34"/>
      <c r="B62" s="36" t="s">
        <v>52</v>
      </c>
      <c r="C62" s="34"/>
      <c r="D62" s="34"/>
      <c r="E62" s="34"/>
      <c r="F62" s="34"/>
      <c r="G62" s="34"/>
    </row>
    <row r="63" spans="1:7" ht="12.75">
      <c r="A63" s="34"/>
      <c r="B63" s="36" t="s">
        <v>53</v>
      </c>
      <c r="C63" s="34"/>
      <c r="D63" s="34"/>
      <c r="E63" s="34"/>
      <c r="F63" s="34"/>
      <c r="G63" s="34"/>
    </row>
    <row r="64" spans="1:7" ht="12.75">
      <c r="A64" s="34"/>
      <c r="B64" s="37"/>
      <c r="C64" s="34"/>
      <c r="D64" s="34"/>
      <c r="E64" s="34"/>
      <c r="F64" s="34"/>
      <c r="G64" s="34"/>
    </row>
    <row r="65" spans="1:7" ht="12.75">
      <c r="A65" s="34"/>
      <c r="B65" s="36" t="s">
        <v>54</v>
      </c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3.5" thickBot="1">
      <c r="A67" s="34"/>
      <c r="B67" s="36" t="s">
        <v>55</v>
      </c>
      <c r="C67" s="34"/>
      <c r="D67" s="34"/>
      <c r="E67" s="34"/>
      <c r="F67" s="34"/>
      <c r="G67" s="34"/>
    </row>
    <row r="68" spans="2:7" ht="12.75">
      <c r="B68" s="36" t="s">
        <v>56</v>
      </c>
      <c r="G68" s="38">
        <v>394.3</v>
      </c>
    </row>
    <row r="69" spans="2:7" ht="12.75">
      <c r="B69" s="34" t="s">
        <v>57</v>
      </c>
      <c r="G69" s="39">
        <v>1</v>
      </c>
    </row>
    <row r="70" spans="2:7" ht="12.75">
      <c r="B70" s="36" t="s">
        <v>58</v>
      </c>
      <c r="G70" s="39">
        <v>17.26</v>
      </c>
    </row>
    <row r="71" spans="2:7" ht="12.75">
      <c r="B71" s="36" t="s">
        <v>59</v>
      </c>
      <c r="G71" s="39">
        <v>0.06</v>
      </c>
    </row>
    <row r="72" spans="2:7" ht="12.75">
      <c r="B72" s="37" t="s">
        <v>60</v>
      </c>
      <c r="G72" s="39">
        <v>50</v>
      </c>
    </row>
    <row r="73" spans="2:7" ht="12.75">
      <c r="B73" s="37" t="s">
        <v>61</v>
      </c>
      <c r="G73" s="39">
        <v>0.07</v>
      </c>
    </row>
    <row r="74" spans="2:7" ht="12.75">
      <c r="B74" s="37" t="s">
        <v>62</v>
      </c>
      <c r="G74" s="39">
        <v>20</v>
      </c>
    </row>
    <row r="75" spans="2:7" ht="12.75">
      <c r="B75" s="48" t="s">
        <v>63</v>
      </c>
      <c r="G75" s="50">
        <v>0</v>
      </c>
    </row>
    <row r="76" spans="2:7" ht="13.5" thickBot="1">
      <c r="B76" s="48" t="s">
        <v>64</v>
      </c>
      <c r="G76" s="49">
        <v>1.4</v>
      </c>
    </row>
    <row r="77" ht="12.75">
      <c r="B77" s="18"/>
    </row>
    <row r="79" ht="15.75">
      <c r="C79" s="6" t="s">
        <v>65</v>
      </c>
    </row>
    <row r="81" ht="12.75">
      <c r="B81" s="36" t="s">
        <v>66</v>
      </c>
    </row>
    <row r="82" ht="12.75">
      <c r="B82" s="34" t="s">
        <v>67</v>
      </c>
    </row>
    <row r="83" spans="2:6" ht="12.75">
      <c r="B83" s="34" t="s">
        <v>122</v>
      </c>
      <c r="F83" s="40">
        <f>F85+F84</f>
        <v>6303659.4</v>
      </c>
    </row>
    <row r="84" spans="2:6" ht="12.75">
      <c r="B84" s="34" t="s">
        <v>121</v>
      </c>
      <c r="F84" s="40">
        <f>F85*0.8</f>
        <v>2801626.4000000004</v>
      </c>
    </row>
    <row r="85" spans="2:9" ht="15.75">
      <c r="B85" s="34" t="s">
        <v>146</v>
      </c>
      <c r="F85" s="40">
        <f>ROUND(IF(D46&gt;50000,83.91*D46^0.8431,891.1*D46^0.6276),0)</f>
        <v>3502033</v>
      </c>
      <c r="H85" s="53">
        <f>F85/D46</f>
        <v>11.586236494441348</v>
      </c>
      <c r="I85" t="s">
        <v>147</v>
      </c>
    </row>
    <row r="86" spans="2:9" ht="12.75">
      <c r="B86" s="34" t="s">
        <v>68</v>
      </c>
      <c r="F86" s="40">
        <f>ROUND(0.1*F83,0)</f>
        <v>630366</v>
      </c>
      <c r="H86" s="53">
        <f>F85/H3/1000</f>
        <v>5.002904285714286</v>
      </c>
      <c r="I86" t="s">
        <v>148</v>
      </c>
    </row>
    <row r="87" spans="2:6" ht="12.75">
      <c r="B87" s="34" t="s">
        <v>69</v>
      </c>
      <c r="F87" s="40">
        <f>ROUND(0.03*F83,0)</f>
        <v>189110</v>
      </c>
    </row>
    <row r="88" spans="2:6" ht="12.75">
      <c r="B88" s="34" t="s">
        <v>70</v>
      </c>
      <c r="F88" s="41">
        <f>ROUND(0.05*F83,0)</f>
        <v>315183</v>
      </c>
    </row>
    <row r="89" spans="2:6" ht="12.75">
      <c r="B89" s="34"/>
      <c r="C89" t="s">
        <v>71</v>
      </c>
      <c r="F89" s="40">
        <f>SUM(F84:F88)</f>
        <v>7438318.4</v>
      </c>
    </row>
    <row r="90" spans="2:6" ht="12.75">
      <c r="B90" s="34"/>
      <c r="F90" s="40"/>
    </row>
    <row r="91" spans="2:6" ht="12.75">
      <c r="B91" s="36" t="s">
        <v>72</v>
      </c>
      <c r="F91" s="40"/>
    </row>
    <row r="92" spans="2:6" ht="12.75">
      <c r="B92" s="34" t="s">
        <v>73</v>
      </c>
      <c r="F92" s="40">
        <f>ROUND(0.04*F89,0)</f>
        <v>297533</v>
      </c>
    </row>
    <row r="93" spans="2:6" ht="12.75">
      <c r="B93" s="34" t="s">
        <v>74</v>
      </c>
      <c r="F93" s="40">
        <f>ROUND(0.5*F89,0)</f>
        <v>3719159</v>
      </c>
    </row>
    <row r="94" spans="2:6" ht="12.75">
      <c r="B94" s="34" t="s">
        <v>75</v>
      </c>
      <c r="F94" s="40">
        <f>ROUND(0.08*F89,0)</f>
        <v>595065</v>
      </c>
    </row>
    <row r="95" spans="2:6" ht="12.75">
      <c r="B95" s="34" t="s">
        <v>76</v>
      </c>
      <c r="F95" s="40">
        <f>ROUND(0.01*F89,0)</f>
        <v>74383</v>
      </c>
    </row>
    <row r="96" spans="2:6" ht="12.75">
      <c r="B96" s="34" t="s">
        <v>77</v>
      </c>
      <c r="F96" s="40">
        <f>ROUND(0.02*F89,0)</f>
        <v>148766</v>
      </c>
    </row>
    <row r="97" spans="2:6" ht="12.75">
      <c r="B97" s="34" t="s">
        <v>78</v>
      </c>
      <c r="F97" s="41">
        <f>ROUND(0.02*F89,0)</f>
        <v>148766</v>
      </c>
    </row>
    <row r="98" spans="2:6" ht="12.75">
      <c r="B98" s="34"/>
      <c r="C98" t="s">
        <v>79</v>
      </c>
      <c r="F98" s="40">
        <f>SUM(F92:F97)</f>
        <v>4983672</v>
      </c>
    </row>
    <row r="99" spans="2:6" ht="13.5" thickBot="1">
      <c r="B99" s="34"/>
      <c r="F99" s="40"/>
    </row>
    <row r="100" spans="2:6" ht="12.75">
      <c r="B100" s="34" t="s">
        <v>80</v>
      </c>
      <c r="F100" s="23"/>
    </row>
    <row r="101" spans="2:6" ht="13.5" thickBot="1">
      <c r="B101" s="34" t="s">
        <v>81</v>
      </c>
      <c r="F101" s="24"/>
    </row>
    <row r="102" spans="2:7" ht="12.75">
      <c r="B102" s="34"/>
      <c r="C102" s="34" t="s">
        <v>82</v>
      </c>
      <c r="F102" s="40">
        <f>PEC+F98+siteprep+buildings</f>
        <v>7013388</v>
      </c>
      <c r="G102" s="34"/>
    </row>
    <row r="103" spans="2:7" ht="12.75">
      <c r="B103" s="34"/>
      <c r="F103" s="40"/>
      <c r="G103" s="34"/>
    </row>
    <row r="104" spans="2:7" ht="12.75">
      <c r="B104" s="36" t="s">
        <v>83</v>
      </c>
      <c r="F104" s="40"/>
      <c r="G104" s="34"/>
    </row>
    <row r="105" spans="2:7" ht="12.75">
      <c r="B105" s="34" t="s">
        <v>84</v>
      </c>
      <c r="F105" s="40">
        <f>ROUND(0.2*F89,0)</f>
        <v>1487664</v>
      </c>
      <c r="G105" s="34"/>
    </row>
    <row r="106" spans="2:7" ht="12.75">
      <c r="B106" s="34" t="s">
        <v>85</v>
      </c>
      <c r="F106" s="40">
        <f>ROUND(0.2*F89,0)</f>
        <v>1487664</v>
      </c>
      <c r="G106" s="34"/>
    </row>
    <row r="107" spans="2:7" ht="12.75">
      <c r="B107" s="34" t="s">
        <v>86</v>
      </c>
      <c r="F107" s="40">
        <f>ROUND(0.1*F89,0)</f>
        <v>743832</v>
      </c>
      <c r="G107" s="34"/>
    </row>
    <row r="108" spans="2:7" ht="12.75">
      <c r="B108" s="34" t="s">
        <v>87</v>
      </c>
      <c r="F108" s="40">
        <f>ROUND(0.01*F89,0)</f>
        <v>74383</v>
      </c>
      <c r="G108" s="34"/>
    </row>
    <row r="109" spans="2:7" ht="12.75">
      <c r="B109" s="34" t="s">
        <v>88</v>
      </c>
      <c r="F109" s="40">
        <f>ROUND(0.01*F89,0)</f>
        <v>74383</v>
      </c>
      <c r="G109" s="34"/>
    </row>
    <row r="110" spans="2:7" ht="12.75">
      <c r="B110" s="34" t="s">
        <v>89</v>
      </c>
      <c r="F110" s="40">
        <f>ROUND(0.02*F89,0)</f>
        <v>148766</v>
      </c>
      <c r="G110" s="34"/>
    </row>
    <row r="111" spans="2:7" ht="12.75">
      <c r="B111" s="34" t="s">
        <v>90</v>
      </c>
      <c r="F111" s="41">
        <f>ROUND(0.03*F89,0)</f>
        <v>223150</v>
      </c>
      <c r="G111" s="34"/>
    </row>
    <row r="112" spans="2:7" ht="12.75">
      <c r="B112" s="34"/>
      <c r="C112" t="s">
        <v>91</v>
      </c>
      <c r="F112" s="40">
        <f>SUM(F105:F111)</f>
        <v>4239842</v>
      </c>
      <c r="G112" s="34"/>
    </row>
    <row r="113" spans="2:7" ht="12.75">
      <c r="B113" s="34"/>
      <c r="F113" s="40"/>
      <c r="G113" s="34"/>
    </row>
    <row r="114" spans="2:7" ht="12.75">
      <c r="B114" s="36" t="s">
        <v>92</v>
      </c>
      <c r="F114" s="40">
        <f>(F102+F112)*G76</f>
        <v>15754521.999999998</v>
      </c>
      <c r="G114" s="34"/>
    </row>
    <row r="115" spans="2:9" ht="12.75">
      <c r="B115" s="36" t="s">
        <v>93</v>
      </c>
      <c r="F115" s="34"/>
      <c r="G115" s="40">
        <f>F114*G68/320</f>
        <v>19412525.076874997</v>
      </c>
      <c r="H115" s="52">
        <f>G115/D45</f>
        <v>9.07466579883835</v>
      </c>
      <c r="I115" t="s">
        <v>129</v>
      </c>
    </row>
    <row r="116" spans="8:9" ht="12.75">
      <c r="H116" s="52">
        <f>G115/H3/1000</f>
        <v>27.732178681249994</v>
      </c>
      <c r="I116" t="s">
        <v>130</v>
      </c>
    </row>
    <row r="117" spans="1:9" ht="15.75">
      <c r="A117" s="42" t="s">
        <v>94</v>
      </c>
      <c r="B117" s="43"/>
      <c r="C117" s="43"/>
      <c r="D117" s="43"/>
      <c r="E117" s="43"/>
      <c r="F117" s="43"/>
      <c r="G117" s="15"/>
      <c r="H117" s="54">
        <f>G115/H3</f>
        <v>27732.178681249996</v>
      </c>
      <c r="I117" t="s">
        <v>131</v>
      </c>
    </row>
    <row r="118" spans="1:6" ht="15.75">
      <c r="A118" s="44"/>
      <c r="B118" s="34"/>
      <c r="C118" s="34"/>
      <c r="D118" s="34"/>
      <c r="E118" s="34"/>
      <c r="F118" s="34"/>
    </row>
    <row r="119" spans="1:6" ht="12.75">
      <c r="A119" s="34"/>
      <c r="B119" s="34" t="s">
        <v>95</v>
      </c>
      <c r="C119" s="34"/>
      <c r="D119" s="34"/>
      <c r="E119" s="34"/>
      <c r="F119" s="34"/>
    </row>
    <row r="120" spans="1:6" ht="12.75">
      <c r="A120" s="34"/>
      <c r="B120" s="34" t="s">
        <v>96</v>
      </c>
      <c r="C120" s="34"/>
      <c r="D120" s="34"/>
      <c r="E120" s="34"/>
      <c r="F120" s="34"/>
    </row>
    <row r="121" spans="1:6" ht="12.75">
      <c r="A121" s="34"/>
      <c r="B121" s="36" t="s">
        <v>97</v>
      </c>
      <c r="C121" s="34"/>
      <c r="D121" s="34"/>
      <c r="E121" s="34"/>
      <c r="F121" s="40">
        <f>IF(signalCE=1,(hours/24)*3*costlabor,(hours/24)*3*12)</f>
        <v>16064.745</v>
      </c>
    </row>
    <row r="122" spans="1:6" ht="12.75">
      <c r="A122" s="34"/>
      <c r="B122" s="34" t="s">
        <v>98</v>
      </c>
      <c r="C122" s="34"/>
      <c r="D122" s="34"/>
      <c r="E122" s="34"/>
      <c r="F122" s="40">
        <f>ROUND(0.15*F121,0)</f>
        <v>2410</v>
      </c>
    </row>
    <row r="123" spans="1:6" ht="12.75">
      <c r="A123" s="34"/>
      <c r="B123" s="34" t="s">
        <v>99</v>
      </c>
      <c r="C123" s="34"/>
      <c r="D123" s="34"/>
      <c r="E123" s="34"/>
      <c r="F123" s="40">
        <f>ROUND(F121/3,0)</f>
        <v>5355</v>
      </c>
    </row>
    <row r="124" spans="1:6" ht="12.75">
      <c r="A124" s="34"/>
      <c r="B124" s="34" t="s">
        <v>100</v>
      </c>
      <c r="C124" s="34"/>
      <c r="D124" s="34"/>
      <c r="E124" s="34"/>
      <c r="F124" s="40"/>
    </row>
    <row r="125" spans="1:6" ht="12.75">
      <c r="A125" s="34"/>
      <c r="B125" s="34"/>
      <c r="C125" s="34"/>
      <c r="D125" s="34"/>
      <c r="E125" s="34"/>
      <c r="F125" s="40"/>
    </row>
    <row r="126" spans="1:6" ht="12.75">
      <c r="A126" s="34"/>
      <c r="B126" s="34" t="s">
        <v>101</v>
      </c>
      <c r="C126" s="34"/>
      <c r="D126" s="34"/>
      <c r="E126" s="34"/>
      <c r="F126" s="40"/>
    </row>
    <row r="127" spans="1:6" ht="12.75">
      <c r="A127" s="34"/>
      <c r="B127" s="36" t="s">
        <v>102</v>
      </c>
      <c r="C127" s="34"/>
      <c r="D127" s="34"/>
      <c r="E127" s="34"/>
      <c r="F127" s="40">
        <f>IF(signalCE=1,IF(D46&gt;50000,ROUND(0.0825*D46*G68/320,0),4125*G68/320),IF(D46&gt;50000,ROUND(0.0825*D46,0),4125))</f>
        <v>30726</v>
      </c>
    </row>
    <row r="128" spans="1:6" ht="12.75">
      <c r="A128" s="34"/>
      <c r="B128" s="34" t="s">
        <v>103</v>
      </c>
      <c r="C128" s="34"/>
      <c r="D128" s="34"/>
      <c r="E128" s="34"/>
      <c r="F128" s="40">
        <f>ROUND(0.01*F89,0)</f>
        <v>74383</v>
      </c>
    </row>
    <row r="129" spans="1:6" ht="12.75">
      <c r="A129" s="34"/>
      <c r="B129" s="34" t="s">
        <v>104</v>
      </c>
      <c r="C129" s="34"/>
      <c r="D129" s="34"/>
      <c r="E129" s="34"/>
      <c r="F129" s="40"/>
    </row>
    <row r="130" spans="1:8" ht="12.75">
      <c r="A130" s="34"/>
      <c r="B130" s="34" t="s">
        <v>105</v>
      </c>
      <c r="C130" s="34"/>
      <c r="D130" s="34"/>
      <c r="E130" s="34"/>
      <c r="F130" s="40">
        <f>IF(signalCE=1,ROUND(0.000181*D45*4.48*hours*costpower,0),ROUND(0.000181*D45*4.48*hours*0.06,0))</f>
        <v>774965</v>
      </c>
      <c r="G130" s="11">
        <f>(F130+F132)/0.06/700</f>
        <v>24688.95238095238</v>
      </c>
      <c r="H130" t="s">
        <v>143</v>
      </c>
    </row>
    <row r="131" spans="1:6" ht="12.75">
      <c r="A131" s="34"/>
      <c r="B131" s="36" t="s">
        <v>106</v>
      </c>
      <c r="C131" s="34"/>
      <c r="D131" s="34"/>
      <c r="E131" s="34"/>
      <c r="F131" s="40"/>
    </row>
    <row r="132" spans="1:6" ht="12.75">
      <c r="A132" s="34"/>
      <c r="B132" s="34" t="s">
        <v>107</v>
      </c>
      <c r="C132" s="34"/>
      <c r="D132" s="34"/>
      <c r="E132" s="34"/>
      <c r="F132" s="40">
        <f>IF(signalCE=1,ROUND(0.00194*D46*hours*costpower,0),ROUND(0.00194*D46*hours*0.06,0))</f>
        <v>261971</v>
      </c>
    </row>
    <row r="133" spans="1:6" ht="13.5" thickBot="1">
      <c r="A133" s="34"/>
      <c r="B133" s="36" t="s">
        <v>108</v>
      </c>
      <c r="C133" s="34"/>
      <c r="D133" s="34"/>
      <c r="E133" s="34"/>
      <c r="F133" s="40"/>
    </row>
    <row r="134" spans="1:8" ht="13.5" thickBot="1">
      <c r="A134" s="34"/>
      <c r="B134" s="34" t="s">
        <v>109</v>
      </c>
      <c r="C134" s="34"/>
      <c r="D134" s="47">
        <v>2</v>
      </c>
      <c r="E134" s="34" t="s">
        <v>110</v>
      </c>
      <c r="F134" s="40">
        <f>IF(signalCE=1,ROUND(0.00000429*F46*D47*D45*(costtip+0.5*D134),0),ROUND(0.00000429*F46*D47*D45*(20+0.5*D134),0))</f>
        <v>348499</v>
      </c>
      <c r="G134" s="56">
        <f>F46*D47*D45/7000/2000/700</f>
        <v>0.16253554285714286</v>
      </c>
      <c r="H134" t="s">
        <v>142</v>
      </c>
    </row>
    <row r="135" spans="1:6" ht="12.75">
      <c r="A135" s="34"/>
      <c r="B135" s="34"/>
      <c r="C135" s="36" t="s">
        <v>111</v>
      </c>
      <c r="D135" s="34"/>
      <c r="E135" s="34"/>
      <c r="F135" s="41"/>
    </row>
    <row r="136" spans="1:6" ht="12.75">
      <c r="A136" s="34"/>
      <c r="B136" s="34"/>
      <c r="C136" s="36" t="s">
        <v>112</v>
      </c>
      <c r="D136" s="34" t="str">
        <f>IF(signalCE=1,"your year dollars","base year dollars")</f>
        <v>your year dollars</v>
      </c>
      <c r="E136" s="34"/>
      <c r="F136" s="40">
        <f>SUM(F121:F134)</f>
        <v>1514373.745</v>
      </c>
    </row>
    <row r="137" spans="1:6" ht="12.75">
      <c r="A137" s="34"/>
      <c r="B137" s="34" t="s">
        <v>113</v>
      </c>
      <c r="C137" s="34"/>
      <c r="D137" s="34"/>
      <c r="E137" s="34"/>
      <c r="F137" s="40"/>
    </row>
    <row r="138" spans="1:6" ht="12.75">
      <c r="A138" s="34"/>
      <c r="B138" s="34" t="s">
        <v>114</v>
      </c>
      <c r="C138" s="34"/>
      <c r="D138" s="34"/>
      <c r="E138" s="34"/>
      <c r="F138" s="40">
        <f>IF(signalCE=1,ROUND(0.6*G68/320*(SUM(F121:F128)),0),ROUND(0.6*(SUM(F121:F128)),0))</f>
        <v>95326</v>
      </c>
    </row>
    <row r="139" spans="1:6" ht="12.75">
      <c r="A139" s="34"/>
      <c r="B139" s="34" t="s">
        <v>115</v>
      </c>
      <c r="C139" s="34"/>
      <c r="D139" s="34"/>
      <c r="E139" s="34"/>
      <c r="F139" s="40">
        <f>IF(signalCE=1,ROUND(0.02*G115,0),ROUND(0.02*TCI,0))</f>
        <v>388251</v>
      </c>
    </row>
    <row r="140" spans="1:6" ht="12.75">
      <c r="A140" s="34"/>
      <c r="B140" s="34" t="s">
        <v>116</v>
      </c>
      <c r="C140" s="34"/>
      <c r="D140" s="34"/>
      <c r="E140" s="34"/>
      <c r="F140" s="40">
        <f>IF(signalCE=1,ROUND(0.01*G115,0),ROUND(0.01*TCI,0))</f>
        <v>194125</v>
      </c>
    </row>
    <row r="141" spans="1:6" ht="12.75">
      <c r="A141" s="34"/>
      <c r="B141" s="34" t="s">
        <v>117</v>
      </c>
      <c r="C141" s="34"/>
      <c r="D141" s="34"/>
      <c r="E141" s="34"/>
      <c r="F141" s="40">
        <f>IF(signalCE=1,ROUND(0.01*G115,0),ROUND(0.01*TCI,0))</f>
        <v>194125</v>
      </c>
    </row>
    <row r="142" spans="1:6" ht="12.75">
      <c r="A142" s="34"/>
      <c r="B142" s="36" t="s">
        <v>118</v>
      </c>
      <c r="C142" s="34"/>
      <c r="D142" s="34"/>
      <c r="E142" s="34"/>
      <c r="F142" s="40">
        <f>IF(signalCE=1,ROUND(G73*(1+G73)^G74/((1+G73)^G74-1)*G115,0),ROUND(0.1175*F114,0))</f>
        <v>1832405</v>
      </c>
    </row>
    <row r="143" spans="1:6" ht="12.75">
      <c r="A143" s="34"/>
      <c r="B143" s="34"/>
      <c r="C143" s="34"/>
      <c r="D143" s="34"/>
      <c r="E143" s="34"/>
      <c r="F143" s="41"/>
    </row>
    <row r="144" spans="1:6" ht="12.75">
      <c r="A144" s="34"/>
      <c r="B144" s="34"/>
      <c r="C144" s="36" t="s">
        <v>119</v>
      </c>
      <c r="D144" s="34" t="str">
        <f>IF(signalCE=1,"your year dollars","base year dollars")</f>
        <v>your year dollars</v>
      </c>
      <c r="E144" s="34"/>
      <c r="F144" s="40">
        <f>SUM(F138:F142)</f>
        <v>2704232</v>
      </c>
    </row>
    <row r="145" spans="1:6" ht="12.75">
      <c r="A145" s="34"/>
      <c r="B145" s="34"/>
      <c r="C145" s="34"/>
      <c r="D145" s="34"/>
      <c r="E145" s="34"/>
      <c r="F145" s="40"/>
    </row>
    <row r="146" spans="1:9" ht="12.75">
      <c r="A146" s="45"/>
      <c r="B146" s="46" t="s">
        <v>120</v>
      </c>
      <c r="C146" s="45"/>
      <c r="D146" s="34" t="str">
        <f>IF(signalCE=1,"your year dollars","base year dollars")</f>
        <v>your year dollars</v>
      </c>
      <c r="E146" s="34"/>
      <c r="F146" s="40">
        <f>F136+F144</f>
        <v>4218605.745</v>
      </c>
      <c r="H146" s="53">
        <f>F146/flue</f>
        <v>9.202892113874345</v>
      </c>
      <c r="I146" t="s">
        <v>129</v>
      </c>
    </row>
    <row r="147" spans="1:9" ht="12.75">
      <c r="A147" s="46"/>
      <c r="B147" s="45"/>
      <c r="C147" s="45"/>
      <c r="D147" s="45"/>
      <c r="E147" s="34"/>
      <c r="F147" s="34"/>
      <c r="H147" s="53">
        <f>F146/H3/1000</f>
        <v>6.0265796357142865</v>
      </c>
      <c r="I147" t="s">
        <v>130</v>
      </c>
    </row>
    <row r="148" spans="8:9" ht="12.75">
      <c r="H148" s="55">
        <f>F146/H3</f>
        <v>6026.579635714286</v>
      </c>
      <c r="I148" t="s">
        <v>131</v>
      </c>
    </row>
    <row r="153" ht="12.75">
      <c r="G153" s="9"/>
    </row>
    <row r="164" spans="1:7" ht="12.75">
      <c r="A164">
        <v>0.5</v>
      </c>
      <c r="B164">
        <v>0.75</v>
      </c>
      <c r="C164">
        <v>0.9</v>
      </c>
      <c r="D164">
        <v>0.95</v>
      </c>
      <c r="E164">
        <v>0.99</v>
      </c>
      <c r="F164">
        <v>0.995</v>
      </c>
      <c r="G164">
        <v>0.999</v>
      </c>
    </row>
    <row r="165" spans="1:7" ht="12.75">
      <c r="A165" s="7">
        <v>308802</v>
      </c>
      <c r="B165" s="7">
        <v>378309</v>
      </c>
      <c r="C165" s="7">
        <v>416839</v>
      </c>
      <c r="D165" s="7">
        <v>517794</v>
      </c>
      <c r="E165" s="7">
        <v>673798</v>
      </c>
      <c r="F165" s="7">
        <v>589425</v>
      </c>
      <c r="G165" s="7">
        <v>680192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2.28125" style="0" customWidth="1"/>
    <col min="4" max="4" width="11.140625" style="0" customWidth="1"/>
    <col min="5" max="5" width="10.421875" style="0" customWidth="1"/>
    <col min="6" max="6" width="11.421875" style="0" customWidth="1"/>
    <col min="7" max="7" width="12.00390625" style="0" customWidth="1"/>
    <col min="8" max="8" width="10.8515625" style="0" customWidth="1"/>
  </cols>
  <sheetData>
    <row r="1" ht="19.5">
      <c r="D1" s="1" t="s">
        <v>0</v>
      </c>
    </row>
    <row r="2" ht="13.5" thickBot="1"/>
    <row r="3" spans="1:8" ht="13.5" thickBot="1">
      <c r="A3" s="2" t="s">
        <v>1</v>
      </c>
      <c r="B3" s="25" t="s">
        <v>128</v>
      </c>
      <c r="C3" s="16"/>
      <c r="D3" s="16"/>
      <c r="E3" s="16"/>
      <c r="F3" s="16"/>
      <c r="G3" s="17"/>
      <c r="H3">
        <v>370</v>
      </c>
    </row>
    <row r="5" ht="12.75">
      <c r="B5" s="18" t="s">
        <v>2</v>
      </c>
    </row>
    <row r="7" spans="1:4" ht="12.75">
      <c r="A7" s="2" t="s">
        <v>3</v>
      </c>
      <c r="D7" s="2" t="str">
        <f>IF(T=2,"Flat Plate Design","Plate-Wire Design")</f>
        <v>Flat Plate Design</v>
      </c>
    </row>
    <row r="8" spans="2:6" ht="13.5" thickBot="1">
      <c r="B8" s="5" t="s">
        <v>4</v>
      </c>
      <c r="C8" s="5"/>
      <c r="D8" s="5"/>
      <c r="E8" s="12">
        <v>2</v>
      </c>
      <c r="F8" t="s">
        <v>5</v>
      </c>
    </row>
    <row r="9" spans="2:8" ht="13.5" thickBot="1">
      <c r="B9" s="5" t="s">
        <v>6</v>
      </c>
      <c r="C9" s="5"/>
      <c r="D9" s="5"/>
      <c r="E9" s="19">
        <v>0.8</v>
      </c>
      <c r="F9" s="2"/>
      <c r="G9" s="2"/>
      <c r="H9" s="2"/>
    </row>
    <row r="10" spans="2:5" ht="13.5" thickBot="1">
      <c r="B10" s="5" t="s">
        <v>7</v>
      </c>
      <c r="C10" s="5"/>
      <c r="D10" s="5"/>
      <c r="E10" s="10">
        <f>(1-E)</f>
        <v>0.19999999999999996</v>
      </c>
    </row>
    <row r="11" spans="2:8" ht="12.75">
      <c r="B11" s="5" t="s">
        <v>8</v>
      </c>
      <c r="C11" s="5"/>
      <c r="D11" s="5"/>
      <c r="E11" s="20">
        <v>413</v>
      </c>
      <c r="F11" s="9"/>
      <c r="G11" s="9"/>
      <c r="H11" s="9"/>
    </row>
    <row r="12" spans="2:8" ht="12.75">
      <c r="B12" s="5" t="s">
        <v>9</v>
      </c>
      <c r="C12" s="5"/>
      <c r="D12" s="5"/>
      <c r="E12" s="21">
        <v>2000000000</v>
      </c>
      <c r="G12" s="8"/>
      <c r="H12" s="2"/>
    </row>
    <row r="13" spans="2:8" ht="13.5" thickBot="1">
      <c r="B13" s="5" t="s">
        <v>10</v>
      </c>
      <c r="C13" s="5"/>
      <c r="D13" s="5"/>
      <c r="E13" s="26">
        <v>3.5</v>
      </c>
      <c r="F13" s="2"/>
      <c r="G13" s="2"/>
      <c r="H13" s="2"/>
    </row>
    <row r="14" spans="2:8" ht="13.5" thickBot="1">
      <c r="B14" s="5" t="s">
        <v>11</v>
      </c>
      <c r="C14" s="5"/>
      <c r="D14" s="5"/>
      <c r="E14" s="5">
        <f>+IF(T=1,0.07,0.1)</f>
        <v>0.1</v>
      </c>
      <c r="F14" s="2"/>
      <c r="G14" s="2"/>
      <c r="H14" s="2"/>
    </row>
    <row r="15" spans="2:8" ht="12.75">
      <c r="B15" s="5" t="s">
        <v>12</v>
      </c>
      <c r="C15" s="5"/>
      <c r="D15" s="5"/>
      <c r="E15" s="20">
        <v>0.124</v>
      </c>
      <c r="F15" s="2"/>
      <c r="G15" s="2"/>
      <c r="H15" s="2"/>
    </row>
    <row r="16" spans="2:8" ht="13.5" thickBot="1">
      <c r="B16" s="5" t="s">
        <v>13</v>
      </c>
      <c r="C16" s="5"/>
      <c r="D16" s="5"/>
      <c r="E16" s="26">
        <v>2</v>
      </c>
      <c r="F16" s="2"/>
      <c r="G16" s="2"/>
      <c r="H16" s="2"/>
    </row>
    <row r="17" spans="2:8" ht="12.75">
      <c r="B17" s="5" t="s">
        <v>14</v>
      </c>
      <c r="C17" s="5"/>
      <c r="D17" s="5"/>
      <c r="E17" s="27">
        <f>IF(MMDi&lt;5,3,5)</f>
        <v>3</v>
      </c>
      <c r="F17" s="2"/>
      <c r="G17" s="2"/>
      <c r="H17" s="2"/>
    </row>
    <row r="18" spans="2:8" ht="12.75">
      <c r="B18" s="5" t="s">
        <v>15</v>
      </c>
      <c r="C18" s="5"/>
      <c r="D18" s="5"/>
      <c r="E18" s="27">
        <f>+Sn+RR*(1-Sn)</f>
        <v>0.2116</v>
      </c>
      <c r="F18" s="2"/>
      <c r="G18" s="2"/>
      <c r="H18" s="2"/>
    </row>
    <row r="19" spans="2:8" ht="12.75">
      <c r="B19" s="5" t="s">
        <v>16</v>
      </c>
      <c r="C19" s="5"/>
      <c r="D19" s="5"/>
      <c r="E19" s="28">
        <f>630000*(273/Tk)^1.65</f>
        <v>318193.5206075361</v>
      </c>
      <c r="F19" s="5" t="s">
        <v>17</v>
      </c>
      <c r="G19" s="2"/>
      <c r="H19" s="2"/>
    </row>
    <row r="20" spans="2:8" ht="12.75">
      <c r="B20" s="5" t="s">
        <v>18</v>
      </c>
      <c r="C20" s="5"/>
      <c r="D20" s="5"/>
      <c r="E20" s="27">
        <f>0.0000172*(Tk/273)^0.71</f>
        <v>2.30769019164502E-05</v>
      </c>
      <c r="F20" s="5" t="s">
        <v>19</v>
      </c>
      <c r="G20" s="2"/>
      <c r="H20" s="2"/>
    </row>
    <row r="21" spans="2:8" ht="12.75">
      <c r="B21" s="5" t="s">
        <v>20</v>
      </c>
      <c r="C21" s="5"/>
      <c r="D21" s="5"/>
      <c r="E21" s="29">
        <v>8.845E-12</v>
      </c>
      <c r="F21" s="5" t="s">
        <v>21</v>
      </c>
      <c r="G21" s="2"/>
      <c r="H21" s="2"/>
    </row>
    <row r="22" spans="2:8" ht="12.75">
      <c r="B22" s="5" t="s">
        <v>22</v>
      </c>
      <c r="C22" s="5"/>
      <c r="D22" s="5"/>
      <c r="E22" s="28">
        <f>IF(Res&gt;200000000000,IF(T=1,0.7*Ebd/1.75,0.7*Ebd*5/6.3),IF(T=1,Ebd/1.75,Ebd*5/6.3))</f>
        <v>252534.5401647112</v>
      </c>
      <c r="F22" s="2"/>
      <c r="G22" s="2"/>
      <c r="H22" s="2"/>
    </row>
    <row r="23" spans="2:8" ht="12.75">
      <c r="B23" s="5" t="s">
        <v>23</v>
      </c>
      <c r="C23" s="5"/>
      <c r="D23" s="5"/>
      <c r="E23" s="27">
        <f>IF(LF&lt;p,1,IF(LF^2&lt;p,2,IF(LF^3&lt;p,3,IF(LF^4&lt;p,4,IF(LF^5&lt;p,5,IF(LF^6&lt;p,6,IF(LF^7&lt;p,7,0)))))))</f>
        <v>2</v>
      </c>
      <c r="F23" s="2"/>
      <c r="G23" s="2"/>
      <c r="H23" s="2"/>
    </row>
    <row r="24" spans="2:8" ht="12.75">
      <c r="B24" s="5" t="s">
        <v>24</v>
      </c>
      <c r="C24" s="5"/>
      <c r="D24" s="5"/>
      <c r="E24" s="30">
        <f>p^(1/No.)</f>
        <v>0.44721359549995787</v>
      </c>
      <c r="F24" s="2"/>
      <c r="G24" s="2"/>
      <c r="H24" s="2"/>
    </row>
    <row r="25" spans="2:8" ht="12.75">
      <c r="B25" s="5" t="s">
        <v>25</v>
      </c>
      <c r="C25" s="5"/>
      <c r="D25" s="5"/>
      <c r="E25" s="30">
        <f>IF((Ps-LF)/(1-LF)&gt;0,(Ps-LF)/(1-LF),0)</f>
        <v>0.2988503240740206</v>
      </c>
      <c r="F25" s="2"/>
      <c r="G25" s="2"/>
      <c r="H25" s="2"/>
    </row>
    <row r="26" spans="2:8" ht="12.75">
      <c r="B26" s="5" t="s">
        <v>26</v>
      </c>
      <c r="C26" s="5"/>
      <c r="D26" s="5"/>
      <c r="E26" s="30">
        <f>Sn+Pc*(1-Sn)+RR*(1-Sn)*(1-Pc)</f>
        <v>0.4472135954999579</v>
      </c>
      <c r="F26" s="2"/>
      <c r="G26" s="2"/>
      <c r="H26" s="2"/>
    </row>
    <row r="27" spans="2:8" ht="12.75">
      <c r="B27" s="5" t="s">
        <v>27</v>
      </c>
      <c r="C27" s="5"/>
      <c r="D27" s="5"/>
      <c r="E27" s="30">
        <f>RR*(1-Sn)*(1-Pc)*MMDr/D</f>
        <v>0.5249055794862122</v>
      </c>
      <c r="F27" s="2"/>
      <c r="G27" s="2"/>
      <c r="H27" s="2"/>
    </row>
    <row r="28" spans="2:8" ht="12.75">
      <c r="B28" s="5" t="s">
        <v>28</v>
      </c>
      <c r="C28" s="5"/>
      <c r="D28" s="5">
        <v>1</v>
      </c>
      <c r="E28" s="27">
        <f>MMDi</f>
        <v>3.5</v>
      </c>
      <c r="F28" s="2"/>
      <c r="G28" s="2"/>
      <c r="H28" s="2"/>
    </row>
    <row r="29" spans="2:8" ht="12.75">
      <c r="B29" s="2"/>
      <c r="C29" s="2"/>
      <c r="D29" s="5">
        <v>2</v>
      </c>
      <c r="E29" s="31">
        <f aca="true" t="shared" si="0" ref="E29:E34">IF(No.&lt;D29,0,(E28*Sn+((1-Pc)*MMDp+Pc*E28)*Pc)/D+MMDrp)</f>
        <v>2.9435885831581428</v>
      </c>
      <c r="F29" s="2"/>
      <c r="G29" s="2"/>
      <c r="H29" s="2"/>
    </row>
    <row r="30" spans="2:8" ht="12.75">
      <c r="B30" s="2"/>
      <c r="C30" s="2"/>
      <c r="D30" s="5">
        <v>3</v>
      </c>
      <c r="E30" s="31">
        <f t="shared" si="0"/>
        <v>0</v>
      </c>
      <c r="F30" s="2"/>
      <c r="G30" s="2"/>
      <c r="H30" s="2"/>
    </row>
    <row r="31" spans="2:8" ht="12.75">
      <c r="B31" s="2"/>
      <c r="C31" s="2"/>
      <c r="D31" s="5">
        <v>4</v>
      </c>
      <c r="E31" s="31">
        <f t="shared" si="0"/>
        <v>0</v>
      </c>
      <c r="F31" s="2"/>
      <c r="G31" s="2"/>
      <c r="H31" s="2"/>
    </row>
    <row r="32" spans="2:8" ht="12.75">
      <c r="B32" s="2"/>
      <c r="C32" s="2"/>
      <c r="D32" s="5">
        <v>5</v>
      </c>
      <c r="E32" s="31">
        <f t="shared" si="0"/>
        <v>0</v>
      </c>
      <c r="F32" s="2"/>
      <c r="G32" s="2"/>
      <c r="H32" s="2"/>
    </row>
    <row r="33" spans="2:8" ht="12.75">
      <c r="B33" s="2"/>
      <c r="C33" s="2"/>
      <c r="D33" s="5">
        <v>6</v>
      </c>
      <c r="E33" s="31">
        <f t="shared" si="0"/>
        <v>0</v>
      </c>
      <c r="F33" s="2"/>
      <c r="G33" s="2"/>
      <c r="H33" s="2"/>
    </row>
    <row r="34" spans="2:8" ht="12.75">
      <c r="B34" s="2"/>
      <c r="C34" s="2"/>
      <c r="D34" s="5">
        <v>7</v>
      </c>
      <c r="E34" s="31">
        <f t="shared" si="0"/>
        <v>0</v>
      </c>
      <c r="F34" s="2"/>
      <c r="G34" s="2"/>
      <c r="H34" s="2"/>
    </row>
    <row r="35" spans="2:8" ht="12.75">
      <c r="B35" t="s">
        <v>29</v>
      </c>
      <c r="C35" s="2"/>
      <c r="D35" s="5">
        <v>1</v>
      </c>
      <c r="E35" s="32">
        <f aca="true" t="shared" si="1" ref="E35:E41">IF(No.&lt;D35,0,-(n/e0)*(1-Sn)*LN(Pc)/(Eavg^2*E28*0.000001))</f>
        <v>12.706093577977311</v>
      </c>
      <c r="F35" s="2"/>
      <c r="G35" s="2"/>
      <c r="H35" s="2"/>
    </row>
    <row r="36" spans="2:5" ht="12.75">
      <c r="B36" s="3"/>
      <c r="D36">
        <v>2</v>
      </c>
      <c r="E36" s="32">
        <f t="shared" si="1"/>
        <v>15.10786112480699</v>
      </c>
    </row>
    <row r="37" spans="4:6" ht="12.75">
      <c r="D37">
        <v>3</v>
      </c>
      <c r="E37" s="32">
        <f t="shared" si="1"/>
        <v>0</v>
      </c>
      <c r="F37" s="13"/>
    </row>
    <row r="38" spans="4:6" ht="12.75">
      <c r="D38">
        <v>4</v>
      </c>
      <c r="E38" s="32">
        <f t="shared" si="1"/>
        <v>0</v>
      </c>
      <c r="F38" s="13"/>
    </row>
    <row r="39" spans="4:6" ht="12.75">
      <c r="D39">
        <v>5</v>
      </c>
      <c r="E39" s="32">
        <f t="shared" si="1"/>
        <v>0</v>
      </c>
      <c r="F39" s="14"/>
    </row>
    <row r="40" spans="4:6" ht="12.75">
      <c r="D40">
        <v>6</v>
      </c>
      <c r="E40" s="32">
        <f t="shared" si="1"/>
        <v>0</v>
      </c>
      <c r="F40" s="14"/>
    </row>
    <row r="41" spans="4:6" ht="12.75">
      <c r="D41">
        <v>7</v>
      </c>
      <c r="E41" s="32">
        <f t="shared" si="1"/>
        <v>0</v>
      </c>
      <c r="F41" s="4"/>
    </row>
    <row r="42" spans="2:5" ht="12.75">
      <c r="B42" t="s">
        <v>30</v>
      </c>
      <c r="E42" s="14">
        <f>SUM(E35:E41)</f>
        <v>27.8139547027843</v>
      </c>
    </row>
    <row r="43" spans="2:5" ht="12.75">
      <c r="B43" t="s">
        <v>31</v>
      </c>
      <c r="E43" s="14">
        <f>+E42*5.08</f>
        <v>141.29488989014425</v>
      </c>
    </row>
    <row r="44" ht="13.5" thickBot="1"/>
    <row r="45" spans="1:9" ht="13.5" thickBot="1">
      <c r="A45" t="s">
        <v>32</v>
      </c>
      <c r="D45" s="22">
        <v>1130720</v>
      </c>
      <c r="E45" s="34" t="s">
        <v>33</v>
      </c>
      <c r="F45" s="34" t="s">
        <v>34</v>
      </c>
      <c r="G45" s="34"/>
      <c r="I45" t="s">
        <v>35</v>
      </c>
    </row>
    <row r="46" spans="1:7" ht="13.5" thickBot="1">
      <c r="A46" t="s">
        <v>36</v>
      </c>
      <c r="D46" s="11">
        <f>+D45/1000*E43</f>
        <v>159764.95789658392</v>
      </c>
      <c r="E46" s="34" t="s">
        <v>37</v>
      </c>
      <c r="F46" s="51">
        <v>0.1</v>
      </c>
      <c r="G46" s="34" t="s">
        <v>38</v>
      </c>
    </row>
    <row r="47" spans="1:4" ht="13.5" thickBot="1">
      <c r="A47" t="s">
        <v>39</v>
      </c>
      <c r="D47" s="33">
        <v>7446</v>
      </c>
    </row>
    <row r="48" spans="1:7" ht="12.75">
      <c r="A48" s="35" t="s">
        <v>40</v>
      </c>
      <c r="B48" s="34"/>
      <c r="C48" s="34"/>
      <c r="D48" s="34"/>
      <c r="E48" s="34"/>
      <c r="F48" s="34"/>
      <c r="G48" s="34"/>
    </row>
    <row r="49" spans="1:7" ht="12.75">
      <c r="A49" s="34"/>
      <c r="B49" s="34" t="s">
        <v>41</v>
      </c>
      <c r="C49" s="34"/>
      <c r="D49" s="34"/>
      <c r="E49" s="34"/>
      <c r="F49" s="34"/>
      <c r="G49" s="34"/>
    </row>
    <row r="50" spans="1:7" ht="12.75">
      <c r="A50" s="35"/>
      <c r="B50" s="34" t="s">
        <v>42</v>
      </c>
      <c r="C50" s="34"/>
      <c r="D50" s="34"/>
      <c r="E50" s="34"/>
      <c r="F50" s="34"/>
      <c r="G50" s="34"/>
    </row>
    <row r="51" spans="1:7" ht="12.75">
      <c r="A51" s="35"/>
      <c r="B51" s="34" t="s">
        <v>43</v>
      </c>
      <c r="C51" s="34"/>
      <c r="D51" s="34"/>
      <c r="E51" s="34"/>
      <c r="F51" s="34"/>
      <c r="G51" s="34"/>
    </row>
    <row r="52" spans="1:7" ht="12.75">
      <c r="A52" s="35"/>
      <c r="B52" s="34" t="s">
        <v>44</v>
      </c>
      <c r="C52" s="34"/>
      <c r="D52" s="34"/>
      <c r="E52" s="34"/>
      <c r="F52" s="34"/>
      <c r="G52" s="34"/>
    </row>
    <row r="53" spans="1:7" ht="12.75">
      <c r="A53" s="34"/>
      <c r="B53" s="34" t="s">
        <v>45</v>
      </c>
      <c r="C53" s="34"/>
      <c r="D53" s="34"/>
      <c r="E53" s="34"/>
      <c r="F53" s="34"/>
      <c r="G53" s="34"/>
    </row>
    <row r="54" spans="1:7" ht="12.75">
      <c r="A54" s="34"/>
      <c r="B54" s="34" t="s">
        <v>46</v>
      </c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6" t="s">
        <v>47</v>
      </c>
      <c r="C56" s="34"/>
      <c r="D56" s="34"/>
      <c r="E56" s="34"/>
      <c r="F56" s="34"/>
      <c r="G56" s="34"/>
    </row>
    <row r="57" spans="1:7" ht="12.75">
      <c r="A57" s="34"/>
      <c r="B57" s="36" t="s">
        <v>48</v>
      </c>
      <c r="C57" s="34"/>
      <c r="D57" s="34"/>
      <c r="E57" s="34"/>
      <c r="F57" s="34"/>
      <c r="G57" s="34"/>
    </row>
    <row r="58" spans="1:7" ht="12.75">
      <c r="A58" s="34"/>
      <c r="B58" s="36" t="s">
        <v>49</v>
      </c>
      <c r="C58" s="34"/>
      <c r="D58" s="34"/>
      <c r="E58" s="34"/>
      <c r="F58" s="34"/>
      <c r="G58" s="34"/>
    </row>
    <row r="59" spans="1:7" ht="12.75">
      <c r="A59" s="34"/>
      <c r="B59" s="37" t="s">
        <v>50</v>
      </c>
      <c r="C59" s="34"/>
      <c r="D59" s="34"/>
      <c r="E59" s="34"/>
      <c r="F59" s="34"/>
      <c r="G59" s="34"/>
    </row>
    <row r="60" spans="1:7" ht="12.75">
      <c r="A60" s="34"/>
      <c r="B60" s="37" t="s">
        <v>51</v>
      </c>
      <c r="C60" s="34"/>
      <c r="D60" s="34"/>
      <c r="E60" s="34"/>
      <c r="F60" s="34"/>
      <c r="G60" s="34"/>
    </row>
    <row r="61" spans="1:7" ht="12.75">
      <c r="A61" s="34"/>
      <c r="B61" s="37"/>
      <c r="C61" s="34"/>
      <c r="D61" s="34"/>
      <c r="E61" s="34"/>
      <c r="F61" s="34"/>
      <c r="G61" s="34"/>
    </row>
    <row r="62" spans="1:7" ht="12.75">
      <c r="A62" s="34"/>
      <c r="B62" s="36" t="s">
        <v>52</v>
      </c>
      <c r="C62" s="34"/>
      <c r="D62" s="34"/>
      <c r="E62" s="34"/>
      <c r="F62" s="34"/>
      <c r="G62" s="34"/>
    </row>
    <row r="63" spans="1:7" ht="12.75">
      <c r="A63" s="34"/>
      <c r="B63" s="36" t="s">
        <v>53</v>
      </c>
      <c r="C63" s="34"/>
      <c r="D63" s="34"/>
      <c r="E63" s="34"/>
      <c r="F63" s="34"/>
      <c r="G63" s="34"/>
    </row>
    <row r="64" spans="1:7" ht="12.75">
      <c r="A64" s="34"/>
      <c r="B64" s="37"/>
      <c r="C64" s="34"/>
      <c r="D64" s="34"/>
      <c r="E64" s="34"/>
      <c r="F64" s="34"/>
      <c r="G64" s="34"/>
    </row>
    <row r="65" spans="1:7" ht="12.75">
      <c r="A65" s="34"/>
      <c r="B65" s="36" t="s">
        <v>54</v>
      </c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3.5" thickBot="1">
      <c r="A67" s="34"/>
      <c r="B67" s="36" t="s">
        <v>55</v>
      </c>
      <c r="C67" s="34"/>
      <c r="D67" s="34"/>
      <c r="E67" s="34"/>
      <c r="F67" s="34"/>
      <c r="G67" s="34"/>
    </row>
    <row r="68" spans="2:7" ht="12.75">
      <c r="B68" s="36" t="s">
        <v>56</v>
      </c>
      <c r="G68" s="38">
        <v>394.3</v>
      </c>
    </row>
    <row r="69" spans="2:7" ht="12.75">
      <c r="B69" s="34" t="s">
        <v>57</v>
      </c>
      <c r="G69" s="39">
        <v>1</v>
      </c>
    </row>
    <row r="70" spans="2:7" ht="12.75">
      <c r="B70" s="36" t="s">
        <v>58</v>
      </c>
      <c r="G70" s="39">
        <v>17.26</v>
      </c>
    </row>
    <row r="71" spans="2:7" ht="12.75">
      <c r="B71" s="36" t="s">
        <v>59</v>
      </c>
      <c r="G71" s="39">
        <v>0.06</v>
      </c>
    </row>
    <row r="72" spans="2:7" ht="12.75">
      <c r="B72" s="37" t="s">
        <v>60</v>
      </c>
      <c r="G72" s="39">
        <v>50</v>
      </c>
    </row>
    <row r="73" spans="2:7" ht="12.75">
      <c r="B73" s="37" t="s">
        <v>61</v>
      </c>
      <c r="G73" s="39">
        <v>0.07</v>
      </c>
    </row>
    <row r="74" spans="2:7" ht="12.75">
      <c r="B74" s="37" t="s">
        <v>62</v>
      </c>
      <c r="G74" s="39">
        <v>20</v>
      </c>
    </row>
    <row r="75" spans="2:7" ht="12.75">
      <c r="B75" s="48" t="s">
        <v>63</v>
      </c>
      <c r="G75" s="50">
        <v>0</v>
      </c>
    </row>
    <row r="76" spans="2:7" ht="13.5" thickBot="1">
      <c r="B76" s="48" t="s">
        <v>64</v>
      </c>
      <c r="G76" s="49">
        <v>1.4</v>
      </c>
    </row>
    <row r="77" ht="12.75">
      <c r="B77" s="18"/>
    </row>
    <row r="79" ht="15.75">
      <c r="C79" s="6" t="s">
        <v>65</v>
      </c>
    </row>
    <row r="81" ht="12.75">
      <c r="B81" s="36" t="s">
        <v>66</v>
      </c>
    </row>
    <row r="82" ht="12.75">
      <c r="B82" s="34" t="s">
        <v>67</v>
      </c>
    </row>
    <row r="83" spans="2:6" ht="12.75">
      <c r="B83" s="34" t="s">
        <v>122</v>
      </c>
      <c r="F83" s="40">
        <f>F85+F84</f>
        <v>3799488.6</v>
      </c>
    </row>
    <row r="84" spans="2:8" ht="12.75">
      <c r="B84" s="34" t="s">
        <v>121</v>
      </c>
      <c r="F84" s="40">
        <f>F85*0.8</f>
        <v>1688661.6</v>
      </c>
      <c r="H84" s="53"/>
    </row>
    <row r="85" spans="2:9" ht="15.75">
      <c r="B85" s="34" t="s">
        <v>146</v>
      </c>
      <c r="F85" s="40">
        <f>ROUND(IF(area&gt;50000,65000+83.91*D46^0.8431,65000+891.1*D46^0.6276),0)</f>
        <v>2110827</v>
      </c>
      <c r="H85" s="53">
        <f>F85/D46</f>
        <v>13.212077465487402</v>
      </c>
      <c r="I85" t="s">
        <v>147</v>
      </c>
    </row>
    <row r="86" spans="2:9" ht="12.75">
      <c r="B86" s="34" t="s">
        <v>68</v>
      </c>
      <c r="F86" s="40">
        <f>ROUND(0.1*F83,0)</f>
        <v>379949</v>
      </c>
      <c r="H86" s="53">
        <f>F85/H3/1000</f>
        <v>5.7049378378378375</v>
      </c>
      <c r="I86" t="s">
        <v>148</v>
      </c>
    </row>
    <row r="87" spans="2:6" ht="12.75">
      <c r="B87" s="34" t="s">
        <v>69</v>
      </c>
      <c r="F87" s="40">
        <f>ROUND(0.03*F83,0)</f>
        <v>113985</v>
      </c>
    </row>
    <row r="88" spans="2:6" ht="12.75">
      <c r="B88" s="34" t="s">
        <v>70</v>
      </c>
      <c r="F88" s="41">
        <f>ROUND(0.05*F83,0)</f>
        <v>189974</v>
      </c>
    </row>
    <row r="89" spans="2:6" ht="12.75">
      <c r="B89" s="34"/>
      <c r="C89" t="s">
        <v>71</v>
      </c>
      <c r="F89" s="40">
        <f>SUM(F84:F88)</f>
        <v>4483396.6</v>
      </c>
    </row>
    <row r="90" spans="2:6" ht="12.75">
      <c r="B90" s="34"/>
      <c r="F90" s="40"/>
    </row>
    <row r="91" spans="2:6" ht="12.75">
      <c r="B91" s="36" t="s">
        <v>72</v>
      </c>
      <c r="F91" s="40"/>
    </row>
    <row r="92" spans="2:6" ht="12.75">
      <c r="B92" s="34" t="s">
        <v>73</v>
      </c>
      <c r="F92" s="40">
        <f>ROUND(0.04*F89,0)</f>
        <v>179336</v>
      </c>
    </row>
    <row r="93" spans="2:6" ht="12.75">
      <c r="B93" s="34" t="s">
        <v>74</v>
      </c>
      <c r="F93" s="40">
        <f>ROUND(0.5*F89,0)</f>
        <v>2241698</v>
      </c>
    </row>
    <row r="94" spans="2:6" ht="12.75">
      <c r="B94" s="34" t="s">
        <v>75</v>
      </c>
      <c r="F94" s="40">
        <f>ROUND(0.08*F89,0)</f>
        <v>358672</v>
      </c>
    </row>
    <row r="95" spans="2:6" ht="12.75">
      <c r="B95" s="34" t="s">
        <v>76</v>
      </c>
      <c r="F95" s="40">
        <f>ROUND(0.01*F89,0)</f>
        <v>44834</v>
      </c>
    </row>
    <row r="96" spans="2:6" ht="12.75">
      <c r="B96" s="34" t="s">
        <v>77</v>
      </c>
      <c r="F96" s="40">
        <f>ROUND(0.02*F89,0)</f>
        <v>89668</v>
      </c>
    </row>
    <row r="97" spans="2:6" ht="12.75">
      <c r="B97" s="34" t="s">
        <v>78</v>
      </c>
      <c r="F97" s="41">
        <f>ROUND(0.02*F89,0)</f>
        <v>89668</v>
      </c>
    </row>
    <row r="98" spans="2:6" ht="12.75">
      <c r="B98" s="34"/>
      <c r="C98" t="s">
        <v>79</v>
      </c>
      <c r="F98" s="40">
        <f>SUM(F92:F97)</f>
        <v>3003876</v>
      </c>
    </row>
    <row r="99" spans="2:6" ht="13.5" thickBot="1">
      <c r="B99" s="34"/>
      <c r="F99" s="40"/>
    </row>
    <row r="100" spans="2:6" ht="12.75">
      <c r="B100" s="34" t="s">
        <v>80</v>
      </c>
      <c r="F100" s="23"/>
    </row>
    <row r="101" spans="2:6" ht="13.5" thickBot="1">
      <c r="B101" s="34" t="s">
        <v>81</v>
      </c>
      <c r="F101" s="24"/>
    </row>
    <row r="102" spans="2:7" ht="12.75">
      <c r="B102" s="34"/>
      <c r="C102" s="34" t="s">
        <v>82</v>
      </c>
      <c r="F102" s="40">
        <f>PEC+F98+siteprep+buildings</f>
        <v>5033592</v>
      </c>
      <c r="G102" s="34"/>
    </row>
    <row r="103" spans="2:7" ht="12.75">
      <c r="B103" s="34"/>
      <c r="F103" s="40"/>
      <c r="G103" s="34"/>
    </row>
    <row r="104" spans="2:7" ht="12.75">
      <c r="B104" s="36" t="s">
        <v>83</v>
      </c>
      <c r="F104" s="40"/>
      <c r="G104" s="34"/>
    </row>
    <row r="105" spans="2:7" ht="12.75">
      <c r="B105" s="34" t="s">
        <v>84</v>
      </c>
      <c r="F105" s="40">
        <f>ROUND(0.2*F89,0)</f>
        <v>896679</v>
      </c>
      <c r="G105" s="34"/>
    </row>
    <row r="106" spans="2:7" ht="12.75">
      <c r="B106" s="34" t="s">
        <v>85</v>
      </c>
      <c r="F106" s="40">
        <f>ROUND(0.2*F89,0)</f>
        <v>896679</v>
      </c>
      <c r="G106" s="34"/>
    </row>
    <row r="107" spans="2:7" ht="12.75">
      <c r="B107" s="34" t="s">
        <v>86</v>
      </c>
      <c r="F107" s="40">
        <f>ROUND(0.1*F89,0)</f>
        <v>448340</v>
      </c>
      <c r="G107" s="34"/>
    </row>
    <row r="108" spans="2:7" ht="12.75">
      <c r="B108" s="34" t="s">
        <v>87</v>
      </c>
      <c r="F108" s="40">
        <f>ROUND(0.01*F89,0)</f>
        <v>44834</v>
      </c>
      <c r="G108" s="34"/>
    </row>
    <row r="109" spans="2:7" ht="12.75">
      <c r="B109" s="34" t="s">
        <v>88</v>
      </c>
      <c r="F109" s="40">
        <f>ROUND(0.01*F89,0)</f>
        <v>44834</v>
      </c>
      <c r="G109" s="34"/>
    </row>
    <row r="110" spans="2:7" ht="12.75">
      <c r="B110" s="34" t="s">
        <v>89</v>
      </c>
      <c r="F110" s="40">
        <f>ROUND(0.02*F89,0)</f>
        <v>89668</v>
      </c>
      <c r="G110" s="34"/>
    </row>
    <row r="111" spans="2:7" ht="12.75">
      <c r="B111" s="34" t="s">
        <v>90</v>
      </c>
      <c r="F111" s="41">
        <f>ROUND(0.03*F89,0)</f>
        <v>134502</v>
      </c>
      <c r="G111" s="34"/>
    </row>
    <row r="112" spans="2:7" ht="12.75">
      <c r="B112" s="34"/>
      <c r="C112" t="s">
        <v>91</v>
      </c>
      <c r="F112" s="40">
        <f>SUM(F105:F111)</f>
        <v>2555536</v>
      </c>
      <c r="G112" s="34"/>
    </row>
    <row r="113" spans="2:7" ht="12.75">
      <c r="B113" s="34"/>
      <c r="F113" s="40"/>
      <c r="G113" s="34"/>
    </row>
    <row r="114" spans="2:7" ht="12.75">
      <c r="B114" s="36" t="s">
        <v>92</v>
      </c>
      <c r="F114" s="40">
        <f>(F102+F112)*G76</f>
        <v>10624779.2</v>
      </c>
      <c r="G114" s="34"/>
    </row>
    <row r="115" spans="2:9" ht="12.75">
      <c r="B115" s="36" t="s">
        <v>93</v>
      </c>
      <c r="F115" s="34"/>
      <c r="G115" s="40">
        <f>F114*G68/320</f>
        <v>13091720.1205</v>
      </c>
      <c r="H115" s="52">
        <f>G115/D45</f>
        <v>11.578215756774444</v>
      </c>
      <c r="I115" t="s">
        <v>129</v>
      </c>
    </row>
    <row r="116" spans="8:9" ht="12.75">
      <c r="H116" s="52">
        <f>G115/H3/1000</f>
        <v>35.383027352702705</v>
      </c>
      <c r="I116" t="s">
        <v>130</v>
      </c>
    </row>
    <row r="117" spans="1:9" ht="15.75">
      <c r="A117" s="42" t="s">
        <v>94</v>
      </c>
      <c r="B117" s="43"/>
      <c r="C117" s="43"/>
      <c r="D117" s="43"/>
      <c r="E117" s="43"/>
      <c r="F117" s="43"/>
      <c r="G117" s="15"/>
      <c r="H117" s="54">
        <f>G115/H3</f>
        <v>35383.0273527027</v>
      </c>
      <c r="I117" t="s">
        <v>131</v>
      </c>
    </row>
    <row r="118" spans="1:6" ht="15.75">
      <c r="A118" s="44"/>
      <c r="B118" s="34"/>
      <c r="C118" s="34"/>
      <c r="D118" s="34"/>
      <c r="E118" s="34"/>
      <c r="F118" s="34"/>
    </row>
    <row r="119" spans="1:6" ht="12.75">
      <c r="A119" s="34"/>
      <c r="B119" s="34" t="s">
        <v>95</v>
      </c>
      <c r="C119" s="34"/>
      <c r="D119" s="34"/>
      <c r="E119" s="34"/>
      <c r="F119" s="34"/>
    </row>
    <row r="120" spans="1:6" ht="12.75">
      <c r="A120" s="34"/>
      <c r="B120" s="34" t="s">
        <v>96</v>
      </c>
      <c r="C120" s="34"/>
      <c r="D120" s="34"/>
      <c r="E120" s="34"/>
      <c r="F120" s="34"/>
    </row>
    <row r="121" spans="1:6" ht="12.75">
      <c r="A121" s="34"/>
      <c r="B121" s="36" t="s">
        <v>97</v>
      </c>
      <c r="C121" s="34"/>
      <c r="D121" s="34"/>
      <c r="E121" s="34"/>
      <c r="F121" s="40">
        <f>IF(signalCE=1,(hours/24)*3*costlabor,(hours/24)*3*12)</f>
        <v>16064.745</v>
      </c>
    </row>
    <row r="122" spans="1:6" ht="12.75">
      <c r="A122" s="34"/>
      <c r="B122" s="34" t="s">
        <v>98</v>
      </c>
      <c r="C122" s="34"/>
      <c r="D122" s="34"/>
      <c r="E122" s="34"/>
      <c r="F122" s="40">
        <f>ROUND(0.15*F121,0)</f>
        <v>2410</v>
      </c>
    </row>
    <row r="123" spans="1:6" ht="12.75">
      <c r="A123" s="34"/>
      <c r="B123" s="34" t="s">
        <v>99</v>
      </c>
      <c r="C123" s="34"/>
      <c r="D123" s="34"/>
      <c r="E123" s="34"/>
      <c r="F123" s="40">
        <f>ROUND(F121/3,0)</f>
        <v>5355</v>
      </c>
    </row>
    <row r="124" spans="1:6" ht="12.75">
      <c r="A124" s="34"/>
      <c r="B124" s="34" t="s">
        <v>100</v>
      </c>
      <c r="C124" s="34"/>
      <c r="D124" s="34"/>
      <c r="E124" s="34"/>
      <c r="F124" s="40"/>
    </row>
    <row r="125" spans="1:6" ht="12.75">
      <c r="A125" s="34"/>
      <c r="B125" s="34"/>
      <c r="C125" s="34"/>
      <c r="D125" s="34"/>
      <c r="E125" s="34"/>
      <c r="F125" s="40"/>
    </row>
    <row r="126" spans="1:6" ht="12.75">
      <c r="A126" s="34"/>
      <c r="B126" s="34" t="s">
        <v>101</v>
      </c>
      <c r="C126" s="34"/>
      <c r="D126" s="34"/>
      <c r="E126" s="34"/>
      <c r="F126" s="40"/>
    </row>
    <row r="127" spans="1:6" ht="12.75">
      <c r="A127" s="34"/>
      <c r="B127" s="36" t="s">
        <v>102</v>
      </c>
      <c r="C127" s="34"/>
      <c r="D127" s="34"/>
      <c r="E127" s="34"/>
      <c r="F127" s="40">
        <f>IF(signalCE=1,IF(D46&gt;50000,ROUND(0.0825*D46*G68/320,0),4125*G68/320),IF(D46&gt;50000,ROUND(0.0825*D46,0),4125))</f>
        <v>16241</v>
      </c>
    </row>
    <row r="128" spans="1:6" ht="12.75">
      <c r="A128" s="34"/>
      <c r="B128" s="34" t="s">
        <v>103</v>
      </c>
      <c r="C128" s="34"/>
      <c r="D128" s="34"/>
      <c r="E128" s="34"/>
      <c r="F128" s="40">
        <f>ROUND(0.01*F89,0)</f>
        <v>44834</v>
      </c>
    </row>
    <row r="129" spans="1:6" ht="12.75">
      <c r="A129" s="34"/>
      <c r="B129" s="34" t="s">
        <v>104</v>
      </c>
      <c r="C129" s="34"/>
      <c r="D129" s="34"/>
      <c r="E129" s="34"/>
      <c r="F129" s="40"/>
    </row>
    <row r="130" spans="1:8" ht="12.75">
      <c r="A130" s="34"/>
      <c r="B130" s="34" t="s">
        <v>105</v>
      </c>
      <c r="C130" s="34"/>
      <c r="D130" s="34"/>
      <c r="E130" s="34"/>
      <c r="F130" s="40">
        <f>IF(G69=1,ROUND(0.000181*D45*4.48*hours*costpower,0),ROUND(0.000181*D45*4.48*hours*0.06,0))</f>
        <v>409625</v>
      </c>
      <c r="G130" s="11">
        <f>(F130+F132)/0.06/370</f>
        <v>24689.00900900901</v>
      </c>
      <c r="H130" t="s">
        <v>143</v>
      </c>
    </row>
    <row r="131" spans="1:6" ht="12.75">
      <c r="A131" s="34"/>
      <c r="B131" s="36" t="s">
        <v>106</v>
      </c>
      <c r="C131" s="34"/>
      <c r="D131" s="34"/>
      <c r="E131" s="34"/>
      <c r="F131" s="40"/>
    </row>
    <row r="132" spans="1:6" ht="12.75">
      <c r="A132" s="34"/>
      <c r="B132" s="34" t="s">
        <v>107</v>
      </c>
      <c r="C132" s="34"/>
      <c r="D132" s="34"/>
      <c r="E132" s="34"/>
      <c r="F132" s="40">
        <f>IF(G69=1,ROUND(0.00194*D46*hours*costpower,0),ROUND(0.00194*D46*hours*0.06,0))</f>
        <v>138471</v>
      </c>
    </row>
    <row r="133" spans="1:6" ht="13.5" thickBot="1">
      <c r="A133" s="34"/>
      <c r="B133" s="36" t="s">
        <v>108</v>
      </c>
      <c r="C133" s="34"/>
      <c r="D133" s="34"/>
      <c r="E133" s="34"/>
      <c r="F133" s="40"/>
    </row>
    <row r="134" spans="1:8" ht="13.5" thickBot="1">
      <c r="A134" s="34"/>
      <c r="B134" s="34" t="s">
        <v>109</v>
      </c>
      <c r="C134" s="34"/>
      <c r="D134" s="47">
        <v>2</v>
      </c>
      <c r="E134" s="34" t="s">
        <v>110</v>
      </c>
      <c r="F134" s="40">
        <f>IF(G69=1,ROUND(0.00000429*F46*D47*D45*(costtip+0.5*D134),0),ROUND(0.00000429*F46*D47*D45*(20+0.5*D134),0))</f>
        <v>184207</v>
      </c>
      <c r="G134" s="56">
        <f>F46*D47*D45/7000/2000/370</f>
        <v>0.16253554285714286</v>
      </c>
      <c r="H134" t="s">
        <v>142</v>
      </c>
    </row>
    <row r="135" spans="1:6" ht="12.75">
      <c r="A135" s="34"/>
      <c r="B135" s="34"/>
      <c r="C135" s="36" t="s">
        <v>111</v>
      </c>
      <c r="D135" s="34"/>
      <c r="E135" s="34"/>
      <c r="F135" s="41"/>
    </row>
    <row r="136" spans="1:6" ht="12.75">
      <c r="A136" s="34"/>
      <c r="B136" s="34"/>
      <c r="C136" s="36" t="s">
        <v>112</v>
      </c>
      <c r="D136" s="34" t="str">
        <f>IF(signalCE=1,"your year dollars","base year dollars")</f>
        <v>your year dollars</v>
      </c>
      <c r="E136" s="34"/>
      <c r="F136" s="40">
        <f>SUM(F121:F134)</f>
        <v>817207.745</v>
      </c>
    </row>
    <row r="137" spans="1:6" ht="12.75">
      <c r="A137" s="34"/>
      <c r="B137" s="34" t="s">
        <v>113</v>
      </c>
      <c r="C137" s="34"/>
      <c r="D137" s="34"/>
      <c r="E137" s="34"/>
      <c r="F137" s="40"/>
    </row>
    <row r="138" spans="1:6" ht="12.75">
      <c r="A138" s="34"/>
      <c r="B138" s="34" t="s">
        <v>114</v>
      </c>
      <c r="C138" s="34"/>
      <c r="D138" s="34"/>
      <c r="E138" s="34"/>
      <c r="F138" s="40">
        <f>IF(signalCE=1,ROUND(0.6*G68/320*(SUM(F121:F128)),0),ROUND(0.6*(SUM(F121:F128)),0))</f>
        <v>62771</v>
      </c>
    </row>
    <row r="139" spans="1:6" ht="12.75">
      <c r="A139" s="34"/>
      <c r="B139" s="34" t="s">
        <v>115</v>
      </c>
      <c r="C139" s="34"/>
      <c r="D139" s="34"/>
      <c r="E139" s="34"/>
      <c r="F139" s="40">
        <f>IF(signalCE=1,ROUND(0.02*G115,0),ROUND(0.02*TCI,0))</f>
        <v>261834</v>
      </c>
    </row>
    <row r="140" spans="1:6" ht="12.75">
      <c r="A140" s="34"/>
      <c r="B140" s="34" t="s">
        <v>116</v>
      </c>
      <c r="C140" s="34"/>
      <c r="D140" s="34"/>
      <c r="E140" s="34"/>
      <c r="F140" s="40">
        <f>IF(signalCE=1,ROUND(0.01*G115,0),ROUND(0.01*TCI,0))</f>
        <v>130917</v>
      </c>
    </row>
    <row r="141" spans="1:6" ht="12.75">
      <c r="A141" s="34"/>
      <c r="B141" s="34" t="s">
        <v>117</v>
      </c>
      <c r="C141" s="34"/>
      <c r="D141" s="34"/>
      <c r="E141" s="34"/>
      <c r="F141" s="40">
        <f>IF(signalCE=1,ROUND(0.01*G115,0),ROUND(0.01*TCI,0))</f>
        <v>130917</v>
      </c>
    </row>
    <row r="142" spans="1:6" ht="12.75">
      <c r="A142" s="34"/>
      <c r="B142" s="36" t="s">
        <v>118</v>
      </c>
      <c r="C142" s="34"/>
      <c r="D142" s="34"/>
      <c r="E142" s="34"/>
      <c r="F142" s="40">
        <f>IF(signalCE=1,ROUND(G73*(1+G73)^G74/((1+G73)^G74-1)*G115,0),ROUND(0.1175*F114,0))</f>
        <v>1235766</v>
      </c>
    </row>
    <row r="143" spans="1:6" ht="12.75">
      <c r="A143" s="34"/>
      <c r="B143" s="34"/>
      <c r="C143" s="34"/>
      <c r="D143" s="34"/>
      <c r="E143" s="34"/>
      <c r="F143" s="41"/>
    </row>
    <row r="144" spans="1:6" ht="12.75">
      <c r="A144" s="34"/>
      <c r="B144" s="34"/>
      <c r="C144" s="36" t="s">
        <v>119</v>
      </c>
      <c r="D144" s="34" t="str">
        <f>IF(signalCE=1,"your year dollars","base year dollars")</f>
        <v>your year dollars</v>
      </c>
      <c r="E144" s="34"/>
      <c r="F144" s="40">
        <f>SUM(F138:F142)</f>
        <v>1822205</v>
      </c>
    </row>
    <row r="145" spans="1:6" ht="12.75">
      <c r="A145" s="34"/>
      <c r="B145" s="34"/>
      <c r="C145" s="34"/>
      <c r="D145" s="34"/>
      <c r="E145" s="34"/>
      <c r="F145" s="40"/>
    </row>
    <row r="146" spans="1:9" ht="12.75">
      <c r="A146" s="45"/>
      <c r="B146" s="46" t="s">
        <v>120</v>
      </c>
      <c r="C146" s="45"/>
      <c r="D146" s="34" t="str">
        <f>IF(signalCE=1,"your year dollars","base year dollars")</f>
        <v>your year dollars</v>
      </c>
      <c r="E146" s="34"/>
      <c r="F146" s="40">
        <f>F136+F144</f>
        <v>2639412.745</v>
      </c>
      <c r="H146" s="53">
        <f>F146/flue</f>
        <v>5.757881206369983</v>
      </c>
      <c r="I146" t="s">
        <v>129</v>
      </c>
    </row>
    <row r="147" spans="1:9" ht="12.75">
      <c r="A147" s="46"/>
      <c r="B147" s="45"/>
      <c r="C147" s="45"/>
      <c r="D147" s="45"/>
      <c r="E147" s="34"/>
      <c r="F147" s="34"/>
      <c r="H147" s="53">
        <f>F146/H3/1000</f>
        <v>7.1335479594594595</v>
      </c>
      <c r="I147" t="s">
        <v>130</v>
      </c>
    </row>
    <row r="148" spans="8:9" ht="12.75">
      <c r="H148" s="55">
        <f>F146/H3</f>
        <v>7133.54795945946</v>
      </c>
      <c r="I148" t="s">
        <v>131</v>
      </c>
    </row>
    <row r="153" ht="12.75">
      <c r="G153" s="9"/>
    </row>
    <row r="164" spans="1:7" ht="12.75">
      <c r="A164">
        <v>0.5</v>
      </c>
      <c r="B164">
        <v>0.75</v>
      </c>
      <c r="C164">
        <v>0.9</v>
      </c>
      <c r="D164">
        <v>0.95</v>
      </c>
      <c r="E164">
        <v>0.99</v>
      </c>
      <c r="F164">
        <v>0.995</v>
      </c>
      <c r="G164">
        <v>0.999</v>
      </c>
    </row>
    <row r="165" spans="1:7" ht="12.75">
      <c r="A165" s="7">
        <v>308802</v>
      </c>
      <c r="B165" s="7">
        <v>378309</v>
      </c>
      <c r="C165" s="7">
        <v>416839</v>
      </c>
      <c r="D165" s="7">
        <v>517794</v>
      </c>
      <c r="E165" s="7">
        <v>673798</v>
      </c>
      <c r="F165" s="7">
        <v>589425</v>
      </c>
      <c r="G165" s="7">
        <v>680192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2.28125" style="0" customWidth="1"/>
    <col min="4" max="4" width="11.140625" style="0" customWidth="1"/>
    <col min="5" max="5" width="10.421875" style="0" customWidth="1"/>
    <col min="6" max="6" width="11.421875" style="0" customWidth="1"/>
    <col min="7" max="7" width="12.00390625" style="0" customWidth="1"/>
    <col min="8" max="8" width="10.8515625" style="0" customWidth="1"/>
  </cols>
  <sheetData>
    <row r="1" ht="19.5">
      <c r="D1" s="1" t="s">
        <v>0</v>
      </c>
    </row>
    <row r="2" ht="13.5" thickBot="1"/>
    <row r="3" spans="1:8" ht="13.5" thickBot="1">
      <c r="A3" s="2" t="s">
        <v>1</v>
      </c>
      <c r="B3" s="25" t="s">
        <v>127</v>
      </c>
      <c r="C3" s="16"/>
      <c r="D3" s="16"/>
      <c r="E3" s="16"/>
      <c r="F3" s="16"/>
      <c r="G3" s="17"/>
      <c r="H3">
        <v>150</v>
      </c>
    </row>
    <row r="5" ht="12.75">
      <c r="B5" s="18" t="s">
        <v>2</v>
      </c>
    </row>
    <row r="7" spans="1:4" ht="12.75">
      <c r="A7" s="2" t="s">
        <v>3</v>
      </c>
      <c r="D7" s="2" t="str">
        <f>IF(T=2,"Flat Plate Design","Plate-Wire Design")</f>
        <v>Flat Plate Design</v>
      </c>
    </row>
    <row r="8" spans="2:6" ht="13.5" thickBot="1">
      <c r="B8" s="5" t="s">
        <v>4</v>
      </c>
      <c r="C8" s="5"/>
      <c r="D8" s="5"/>
      <c r="E8" s="12">
        <v>2</v>
      </c>
      <c r="F8" t="s">
        <v>5</v>
      </c>
    </row>
    <row r="9" spans="2:8" ht="13.5" thickBot="1">
      <c r="B9" s="5" t="s">
        <v>6</v>
      </c>
      <c r="C9" s="5"/>
      <c r="D9" s="5"/>
      <c r="E9" s="19">
        <v>0.8</v>
      </c>
      <c r="F9" s="2"/>
      <c r="G9" s="2"/>
      <c r="H9" s="2"/>
    </row>
    <row r="10" spans="2:5" ht="13.5" thickBot="1">
      <c r="B10" s="5" t="s">
        <v>7</v>
      </c>
      <c r="C10" s="5"/>
      <c r="D10" s="5"/>
      <c r="E10" s="10">
        <f>(1-E)</f>
        <v>0.19999999999999996</v>
      </c>
    </row>
    <row r="11" spans="2:8" ht="12.75">
      <c r="B11" s="5" t="s">
        <v>8</v>
      </c>
      <c r="C11" s="5"/>
      <c r="D11" s="5"/>
      <c r="E11" s="20">
        <v>413</v>
      </c>
      <c r="F11" s="9"/>
      <c r="G11" s="9"/>
      <c r="H11" s="9"/>
    </row>
    <row r="12" spans="2:8" ht="12.75">
      <c r="B12" s="5" t="s">
        <v>9</v>
      </c>
      <c r="C12" s="5"/>
      <c r="D12" s="5"/>
      <c r="E12" s="21">
        <v>2000000000</v>
      </c>
      <c r="G12" s="8"/>
      <c r="H12" s="2"/>
    </row>
    <row r="13" spans="2:8" ht="13.5" thickBot="1">
      <c r="B13" s="5" t="s">
        <v>10</v>
      </c>
      <c r="C13" s="5"/>
      <c r="D13" s="5"/>
      <c r="E13" s="26">
        <v>3.5</v>
      </c>
      <c r="F13" s="2"/>
      <c r="G13" s="2"/>
      <c r="H13" s="2"/>
    </row>
    <row r="14" spans="2:8" ht="13.5" thickBot="1">
      <c r="B14" s="5" t="s">
        <v>11</v>
      </c>
      <c r="C14" s="5"/>
      <c r="D14" s="5"/>
      <c r="E14" s="5">
        <f>+IF(T=1,0.07,0.1)</f>
        <v>0.1</v>
      </c>
      <c r="F14" s="2"/>
      <c r="G14" s="2"/>
      <c r="H14" s="2"/>
    </row>
    <row r="15" spans="2:8" ht="12.75">
      <c r="B15" s="5" t="s">
        <v>12</v>
      </c>
      <c r="C15" s="5"/>
      <c r="D15" s="5"/>
      <c r="E15" s="20">
        <v>0.124</v>
      </c>
      <c r="F15" s="2"/>
      <c r="G15" s="2"/>
      <c r="H15" s="2"/>
    </row>
    <row r="16" spans="2:8" ht="13.5" thickBot="1">
      <c r="B16" s="5" t="s">
        <v>13</v>
      </c>
      <c r="C16" s="5"/>
      <c r="D16" s="5"/>
      <c r="E16" s="26">
        <v>2</v>
      </c>
      <c r="F16" s="2"/>
      <c r="G16" s="2"/>
      <c r="H16" s="2"/>
    </row>
    <row r="17" spans="2:8" ht="12.75">
      <c r="B17" s="5" t="s">
        <v>14</v>
      </c>
      <c r="C17" s="5"/>
      <c r="D17" s="5"/>
      <c r="E17" s="27">
        <f>IF(MMDi&lt;5,3,5)</f>
        <v>3</v>
      </c>
      <c r="F17" s="2"/>
      <c r="G17" s="2"/>
      <c r="H17" s="2"/>
    </row>
    <row r="18" spans="2:8" ht="12.75">
      <c r="B18" s="5" t="s">
        <v>15</v>
      </c>
      <c r="C18" s="5"/>
      <c r="D18" s="5"/>
      <c r="E18" s="27">
        <f>+Sn+RR*(1-Sn)</f>
        <v>0.2116</v>
      </c>
      <c r="F18" s="2"/>
      <c r="G18" s="2"/>
      <c r="H18" s="2"/>
    </row>
    <row r="19" spans="2:8" ht="12.75">
      <c r="B19" s="5" t="s">
        <v>16</v>
      </c>
      <c r="C19" s="5"/>
      <c r="D19" s="5"/>
      <c r="E19" s="28">
        <f>630000*(273/Tk)^1.65</f>
        <v>318193.5206075361</v>
      </c>
      <c r="F19" s="5" t="s">
        <v>17</v>
      </c>
      <c r="G19" s="2"/>
      <c r="H19" s="2"/>
    </row>
    <row r="20" spans="2:8" ht="12.75">
      <c r="B20" s="5" t="s">
        <v>18</v>
      </c>
      <c r="C20" s="5"/>
      <c r="D20" s="5"/>
      <c r="E20" s="27">
        <f>0.0000172*(Tk/273)^0.71</f>
        <v>2.30769019164502E-05</v>
      </c>
      <c r="F20" s="5" t="s">
        <v>19</v>
      </c>
      <c r="G20" s="2"/>
      <c r="H20" s="2"/>
    </row>
    <row r="21" spans="2:8" ht="12.75">
      <c r="B21" s="5" t="s">
        <v>20</v>
      </c>
      <c r="C21" s="5"/>
      <c r="D21" s="5"/>
      <c r="E21" s="29">
        <v>8.845E-12</v>
      </c>
      <c r="F21" s="5" t="s">
        <v>21</v>
      </c>
      <c r="G21" s="2"/>
      <c r="H21" s="2"/>
    </row>
    <row r="22" spans="2:8" ht="12.75">
      <c r="B22" s="5" t="s">
        <v>22</v>
      </c>
      <c r="C22" s="5"/>
      <c r="D22" s="5"/>
      <c r="E22" s="28">
        <f>IF(Res&gt;200000000000,IF(T=1,0.7*Ebd/1.75,0.7*Ebd*5/6.3),IF(T=1,Ebd/1.75,Ebd*5/6.3))</f>
        <v>252534.5401647112</v>
      </c>
      <c r="F22" s="2"/>
      <c r="G22" s="2"/>
      <c r="H22" s="2"/>
    </row>
    <row r="23" spans="2:8" ht="12.75">
      <c r="B23" s="5" t="s">
        <v>23</v>
      </c>
      <c r="C23" s="5"/>
      <c r="D23" s="5"/>
      <c r="E23" s="27">
        <f>IF(LF&lt;p,1,IF(LF^2&lt;p,2,IF(LF^3&lt;p,3,IF(LF^4&lt;p,4,IF(LF^5&lt;p,5,IF(LF^6&lt;p,6,IF(LF^7&lt;p,7,0)))))))</f>
        <v>2</v>
      </c>
      <c r="F23" s="2"/>
      <c r="G23" s="2"/>
      <c r="H23" s="2"/>
    </row>
    <row r="24" spans="2:8" ht="12.75">
      <c r="B24" s="5" t="s">
        <v>24</v>
      </c>
      <c r="C24" s="5"/>
      <c r="D24" s="5"/>
      <c r="E24" s="30">
        <f>p^(1/No.)</f>
        <v>0.44721359549995787</v>
      </c>
      <c r="F24" s="2"/>
      <c r="G24" s="2"/>
      <c r="H24" s="2"/>
    </row>
    <row r="25" spans="2:8" ht="12.75">
      <c r="B25" s="5" t="s">
        <v>25</v>
      </c>
      <c r="C25" s="5"/>
      <c r="D25" s="5"/>
      <c r="E25" s="30">
        <f>IF((Ps-LF)/(1-LF)&gt;0,(Ps-LF)/(1-LF),0)</f>
        <v>0.2988503240740206</v>
      </c>
      <c r="F25" s="2"/>
      <c r="G25" s="2"/>
      <c r="H25" s="2"/>
    </row>
    <row r="26" spans="2:8" ht="12.75">
      <c r="B26" s="5" t="s">
        <v>26</v>
      </c>
      <c r="C26" s="5"/>
      <c r="D26" s="5"/>
      <c r="E26" s="30">
        <f>Sn+Pc*(1-Sn)+RR*(1-Sn)*(1-Pc)</f>
        <v>0.4472135954999579</v>
      </c>
      <c r="F26" s="2"/>
      <c r="G26" s="2"/>
      <c r="H26" s="2"/>
    </row>
    <row r="27" spans="2:8" ht="12.75">
      <c r="B27" s="5" t="s">
        <v>27</v>
      </c>
      <c r="C27" s="5"/>
      <c r="D27" s="5"/>
      <c r="E27" s="30">
        <f>RR*(1-Sn)*(1-Pc)*MMDr/D</f>
        <v>0.5249055794862122</v>
      </c>
      <c r="F27" s="2"/>
      <c r="G27" s="2"/>
      <c r="H27" s="2"/>
    </row>
    <row r="28" spans="2:8" ht="12.75">
      <c r="B28" s="5" t="s">
        <v>28</v>
      </c>
      <c r="C28" s="5"/>
      <c r="D28" s="5">
        <v>1</v>
      </c>
      <c r="E28" s="27">
        <f>MMDi</f>
        <v>3.5</v>
      </c>
      <c r="F28" s="2"/>
      <c r="G28" s="2"/>
      <c r="H28" s="2"/>
    </row>
    <row r="29" spans="2:8" ht="12.75">
      <c r="B29" s="2"/>
      <c r="C29" s="2"/>
      <c r="D29" s="5">
        <v>2</v>
      </c>
      <c r="E29" s="31">
        <f aca="true" t="shared" si="0" ref="E29:E34">IF(No.&lt;D29,0,(E28*Sn+((1-Pc)*MMDp+Pc*E28)*Pc)/D+MMDrp)</f>
        <v>2.9435885831581428</v>
      </c>
      <c r="F29" s="2"/>
      <c r="G29" s="2"/>
      <c r="H29" s="2"/>
    </row>
    <row r="30" spans="2:8" ht="12.75">
      <c r="B30" s="2"/>
      <c r="C30" s="2"/>
      <c r="D30" s="5">
        <v>3</v>
      </c>
      <c r="E30" s="31">
        <f t="shared" si="0"/>
        <v>0</v>
      </c>
      <c r="F30" s="2"/>
      <c r="G30" s="2"/>
      <c r="H30" s="2"/>
    </row>
    <row r="31" spans="2:8" ht="12.75">
      <c r="B31" s="2"/>
      <c r="C31" s="2"/>
      <c r="D31" s="5">
        <v>4</v>
      </c>
      <c r="E31" s="31">
        <f t="shared" si="0"/>
        <v>0</v>
      </c>
      <c r="F31" s="2"/>
      <c r="G31" s="2"/>
      <c r="H31" s="2"/>
    </row>
    <row r="32" spans="2:8" ht="12.75">
      <c r="B32" s="2"/>
      <c r="C32" s="2"/>
      <c r="D32" s="5">
        <v>5</v>
      </c>
      <c r="E32" s="31">
        <f t="shared" si="0"/>
        <v>0</v>
      </c>
      <c r="F32" s="2"/>
      <c r="G32" s="2"/>
      <c r="H32" s="2"/>
    </row>
    <row r="33" spans="2:8" ht="12.75">
      <c r="B33" s="2"/>
      <c r="C33" s="2"/>
      <c r="D33" s="5">
        <v>6</v>
      </c>
      <c r="E33" s="31">
        <f t="shared" si="0"/>
        <v>0</v>
      </c>
      <c r="F33" s="2"/>
      <c r="G33" s="2"/>
      <c r="H33" s="2"/>
    </row>
    <row r="34" spans="2:8" ht="12.75">
      <c r="B34" s="2"/>
      <c r="C34" s="2"/>
      <c r="D34" s="5">
        <v>7</v>
      </c>
      <c r="E34" s="31">
        <f t="shared" si="0"/>
        <v>0</v>
      </c>
      <c r="F34" s="2"/>
      <c r="G34" s="2"/>
      <c r="H34" s="2"/>
    </row>
    <row r="35" spans="2:8" ht="12.75">
      <c r="B35" t="s">
        <v>29</v>
      </c>
      <c r="C35" s="2"/>
      <c r="D35" s="5">
        <v>1</v>
      </c>
      <c r="E35" s="32">
        <f aca="true" t="shared" si="1" ref="E35:E41">IF(No.&lt;D35,0,-(n/e0)*(1-Sn)*LN(Pc)/(Eavg^2*E28*0.000001))</f>
        <v>12.706093577977311</v>
      </c>
      <c r="F35" s="2"/>
      <c r="G35" s="2"/>
      <c r="H35" s="2"/>
    </row>
    <row r="36" spans="2:5" ht="12.75">
      <c r="B36" s="3"/>
      <c r="D36">
        <v>2</v>
      </c>
      <c r="E36" s="32">
        <f t="shared" si="1"/>
        <v>15.10786112480699</v>
      </c>
    </row>
    <row r="37" spans="4:6" ht="12.75">
      <c r="D37">
        <v>3</v>
      </c>
      <c r="E37" s="32">
        <f t="shared" si="1"/>
        <v>0</v>
      </c>
      <c r="F37" s="13"/>
    </row>
    <row r="38" spans="4:6" ht="12.75">
      <c r="D38">
        <v>4</v>
      </c>
      <c r="E38" s="32">
        <f t="shared" si="1"/>
        <v>0</v>
      </c>
      <c r="F38" s="13"/>
    </row>
    <row r="39" spans="4:6" ht="12.75">
      <c r="D39">
        <v>5</v>
      </c>
      <c r="E39" s="32">
        <f t="shared" si="1"/>
        <v>0</v>
      </c>
      <c r="F39" s="14"/>
    </row>
    <row r="40" spans="4:6" ht="12.75">
      <c r="D40">
        <v>6</v>
      </c>
      <c r="E40" s="32">
        <f t="shared" si="1"/>
        <v>0</v>
      </c>
      <c r="F40" s="14"/>
    </row>
    <row r="41" spans="4:6" ht="12.75">
      <c r="D41">
        <v>7</v>
      </c>
      <c r="E41" s="32">
        <f t="shared" si="1"/>
        <v>0</v>
      </c>
      <c r="F41" s="4"/>
    </row>
    <row r="42" spans="2:5" ht="12.75">
      <c r="B42" t="s">
        <v>30</v>
      </c>
      <c r="E42" s="14">
        <f>SUM(E35:E41)</f>
        <v>27.8139547027843</v>
      </c>
    </row>
    <row r="43" spans="2:5" ht="12.75">
      <c r="B43" t="s">
        <v>31</v>
      </c>
      <c r="E43" s="14">
        <f>+E42*5.08</f>
        <v>141.29488989014425</v>
      </c>
    </row>
    <row r="44" ht="13.5" thickBot="1"/>
    <row r="45" spans="1:9" ht="13.5" thickBot="1">
      <c r="A45" t="s">
        <v>32</v>
      </c>
      <c r="D45" s="22">
        <v>458400</v>
      </c>
      <c r="E45" s="34" t="s">
        <v>33</v>
      </c>
      <c r="F45" s="34" t="s">
        <v>34</v>
      </c>
      <c r="G45" s="34"/>
      <c r="I45" t="s">
        <v>35</v>
      </c>
    </row>
    <row r="46" spans="1:7" ht="13.5" thickBot="1">
      <c r="A46" t="s">
        <v>36</v>
      </c>
      <c r="D46" s="11">
        <f>+D45/1000*ESCA</f>
        <v>64769.57752564212</v>
      </c>
      <c r="E46" s="34" t="s">
        <v>37</v>
      </c>
      <c r="F46" s="51">
        <v>0.1</v>
      </c>
      <c r="G46" s="34" t="s">
        <v>38</v>
      </c>
    </row>
    <row r="47" spans="1:4" ht="13.5" thickBot="1">
      <c r="A47" t="s">
        <v>39</v>
      </c>
      <c r="D47" s="33">
        <v>7446</v>
      </c>
    </row>
    <row r="48" spans="1:7" ht="12.75">
      <c r="A48" s="35" t="s">
        <v>40</v>
      </c>
      <c r="B48" s="34"/>
      <c r="C48" s="34"/>
      <c r="D48" s="34"/>
      <c r="E48" s="34"/>
      <c r="F48" s="34"/>
      <c r="G48" s="34"/>
    </row>
    <row r="49" spans="1:7" ht="12.75">
      <c r="A49" s="34"/>
      <c r="B49" s="34" t="s">
        <v>41</v>
      </c>
      <c r="C49" s="34"/>
      <c r="D49" s="34"/>
      <c r="E49" s="34"/>
      <c r="F49" s="34"/>
      <c r="G49" s="34"/>
    </row>
    <row r="50" spans="1:7" ht="12.75">
      <c r="A50" s="35"/>
      <c r="B50" s="34" t="s">
        <v>42</v>
      </c>
      <c r="C50" s="34"/>
      <c r="D50" s="34"/>
      <c r="E50" s="34"/>
      <c r="F50" s="34"/>
      <c r="G50" s="34"/>
    </row>
    <row r="51" spans="1:7" ht="12.75">
      <c r="A51" s="35"/>
      <c r="B51" s="34" t="s">
        <v>43</v>
      </c>
      <c r="C51" s="34"/>
      <c r="D51" s="34"/>
      <c r="E51" s="34"/>
      <c r="F51" s="34"/>
      <c r="G51" s="34"/>
    </row>
    <row r="52" spans="1:7" ht="12.75">
      <c r="A52" s="35"/>
      <c r="B52" s="34" t="s">
        <v>44</v>
      </c>
      <c r="C52" s="34"/>
      <c r="D52" s="34"/>
      <c r="E52" s="34"/>
      <c r="F52" s="34"/>
      <c r="G52" s="34"/>
    </row>
    <row r="53" spans="1:7" ht="12.75">
      <c r="A53" s="34"/>
      <c r="B53" s="34" t="s">
        <v>45</v>
      </c>
      <c r="C53" s="34"/>
      <c r="D53" s="34"/>
      <c r="E53" s="34"/>
      <c r="F53" s="34"/>
      <c r="G53" s="34"/>
    </row>
    <row r="54" spans="1:7" ht="12.75">
      <c r="A54" s="34"/>
      <c r="B54" s="34" t="s">
        <v>46</v>
      </c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6" t="s">
        <v>47</v>
      </c>
      <c r="C56" s="34"/>
      <c r="D56" s="34"/>
      <c r="E56" s="34"/>
      <c r="F56" s="34"/>
      <c r="G56" s="34"/>
    </row>
    <row r="57" spans="1:7" ht="12.75">
      <c r="A57" s="34"/>
      <c r="B57" s="36" t="s">
        <v>48</v>
      </c>
      <c r="C57" s="34"/>
      <c r="D57" s="34"/>
      <c r="E57" s="34"/>
      <c r="F57" s="34"/>
      <c r="G57" s="34"/>
    </row>
    <row r="58" spans="1:7" ht="12.75">
      <c r="A58" s="34"/>
      <c r="B58" s="36" t="s">
        <v>49</v>
      </c>
      <c r="C58" s="34"/>
      <c r="D58" s="34"/>
      <c r="E58" s="34"/>
      <c r="F58" s="34"/>
      <c r="G58" s="34"/>
    </row>
    <row r="59" spans="1:7" ht="12.75">
      <c r="A59" s="34"/>
      <c r="B59" s="37" t="s">
        <v>50</v>
      </c>
      <c r="C59" s="34"/>
      <c r="D59" s="34"/>
      <c r="E59" s="34"/>
      <c r="F59" s="34"/>
      <c r="G59" s="34"/>
    </row>
    <row r="60" spans="1:7" ht="12.75">
      <c r="A60" s="34"/>
      <c r="B60" s="37" t="s">
        <v>51</v>
      </c>
      <c r="C60" s="34"/>
      <c r="D60" s="34"/>
      <c r="E60" s="34"/>
      <c r="F60" s="34"/>
      <c r="G60" s="34"/>
    </row>
    <row r="61" spans="1:7" ht="12.75">
      <c r="A61" s="34"/>
      <c r="B61" s="37"/>
      <c r="C61" s="34"/>
      <c r="D61" s="34"/>
      <c r="E61" s="34"/>
      <c r="F61" s="34"/>
      <c r="G61" s="34"/>
    </row>
    <row r="62" spans="1:7" ht="12.75">
      <c r="A62" s="34"/>
      <c r="B62" s="36" t="s">
        <v>52</v>
      </c>
      <c r="C62" s="34"/>
      <c r="D62" s="34"/>
      <c r="E62" s="34"/>
      <c r="F62" s="34"/>
      <c r="G62" s="34"/>
    </row>
    <row r="63" spans="1:7" ht="12.75">
      <c r="A63" s="34"/>
      <c r="B63" s="36" t="s">
        <v>53</v>
      </c>
      <c r="C63" s="34"/>
      <c r="D63" s="34"/>
      <c r="E63" s="34"/>
      <c r="F63" s="34"/>
      <c r="G63" s="34"/>
    </row>
    <row r="64" spans="1:7" ht="12.75">
      <c r="A64" s="34"/>
      <c r="B64" s="37"/>
      <c r="C64" s="34"/>
      <c r="D64" s="34"/>
      <c r="E64" s="34"/>
      <c r="F64" s="34"/>
      <c r="G64" s="34"/>
    </row>
    <row r="65" spans="1:7" ht="12.75">
      <c r="A65" s="34"/>
      <c r="B65" s="36" t="s">
        <v>54</v>
      </c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3.5" thickBot="1">
      <c r="A67" s="34"/>
      <c r="B67" s="36" t="s">
        <v>55</v>
      </c>
      <c r="C67" s="34"/>
      <c r="D67" s="34"/>
      <c r="E67" s="34"/>
      <c r="F67" s="34"/>
      <c r="G67" s="34"/>
    </row>
    <row r="68" spans="2:7" ht="12.75">
      <c r="B68" s="36" t="s">
        <v>56</v>
      </c>
      <c r="G68" s="38">
        <v>394.3</v>
      </c>
    </row>
    <row r="69" spans="2:7" ht="12.75">
      <c r="B69" s="34" t="s">
        <v>57</v>
      </c>
      <c r="G69" s="39">
        <v>1</v>
      </c>
    </row>
    <row r="70" spans="2:7" ht="12.75">
      <c r="B70" s="36" t="s">
        <v>58</v>
      </c>
      <c r="G70" s="39">
        <v>17.26</v>
      </c>
    </row>
    <row r="71" spans="2:7" ht="12.75">
      <c r="B71" s="36" t="s">
        <v>59</v>
      </c>
      <c r="G71" s="39">
        <v>0.06</v>
      </c>
    </row>
    <row r="72" spans="2:7" ht="12.75">
      <c r="B72" s="37" t="s">
        <v>60</v>
      </c>
      <c r="G72" s="39">
        <v>50</v>
      </c>
    </row>
    <row r="73" spans="2:7" ht="12.75">
      <c r="B73" s="37" t="s">
        <v>61</v>
      </c>
      <c r="G73" s="39">
        <v>0.07</v>
      </c>
    </row>
    <row r="74" spans="2:7" ht="12.75">
      <c r="B74" s="37" t="s">
        <v>62</v>
      </c>
      <c r="G74" s="39">
        <v>20</v>
      </c>
    </row>
    <row r="75" spans="2:7" ht="12.75">
      <c r="B75" s="48" t="s">
        <v>63</v>
      </c>
      <c r="G75" s="50">
        <v>0</v>
      </c>
    </row>
    <row r="76" spans="2:7" ht="13.5" thickBot="1">
      <c r="B76" s="48" t="s">
        <v>64</v>
      </c>
      <c r="G76" s="49">
        <v>1.4</v>
      </c>
    </row>
    <row r="77" ht="12.75">
      <c r="B77" s="18"/>
    </row>
    <row r="79" ht="15.75">
      <c r="C79" s="6" t="s">
        <v>65</v>
      </c>
    </row>
    <row r="81" ht="12.75">
      <c r="B81" s="36" t="s">
        <v>66</v>
      </c>
    </row>
    <row r="82" ht="12.75">
      <c r="B82" s="34" t="s">
        <v>67</v>
      </c>
    </row>
    <row r="83" spans="2:6" ht="12.75">
      <c r="B83" s="34" t="s">
        <v>122</v>
      </c>
      <c r="F83" s="40">
        <f>F85+F84</f>
        <v>1720098</v>
      </c>
    </row>
    <row r="84" spans="2:6" ht="12.75">
      <c r="B84" s="34" t="s">
        <v>121</v>
      </c>
      <c r="F84" s="40">
        <f>F85*0.8</f>
        <v>764488</v>
      </c>
    </row>
    <row r="85" spans="2:9" ht="15.75">
      <c r="B85" s="34" t="s">
        <v>146</v>
      </c>
      <c r="F85" s="40">
        <f>ROUND(IF(D46&gt;50000,83.91*D46^0.8431,891.1*D46^0.6276),0)</f>
        <v>955610</v>
      </c>
      <c r="H85" s="53">
        <f>F85/D46</f>
        <v>14.753994645428655</v>
      </c>
      <c r="I85" t="s">
        <v>147</v>
      </c>
    </row>
    <row r="86" spans="2:9" ht="12.75">
      <c r="B86" s="34" t="s">
        <v>68</v>
      </c>
      <c r="F86" s="40">
        <f>ROUND(0.1*costs,0)</f>
        <v>172010</v>
      </c>
      <c r="H86" s="53">
        <f>F85/H3/1000</f>
        <v>6.370733333333334</v>
      </c>
      <c r="I86" t="s">
        <v>148</v>
      </c>
    </row>
    <row r="87" spans="2:6" ht="12.75">
      <c r="B87" s="34" t="s">
        <v>69</v>
      </c>
      <c r="F87" s="40">
        <f>ROUND(0.03*costs,0)</f>
        <v>51603</v>
      </c>
    </row>
    <row r="88" spans="2:6" ht="12.75">
      <c r="B88" s="34" t="s">
        <v>70</v>
      </c>
      <c r="F88" s="41">
        <f>ROUND(0.05*costs,0)</f>
        <v>86005</v>
      </c>
    </row>
    <row r="89" spans="2:6" ht="12.75">
      <c r="B89" s="34"/>
      <c r="C89" t="s">
        <v>71</v>
      </c>
      <c r="F89" s="40">
        <f>SUM(F84:F88)</f>
        <v>2029716</v>
      </c>
    </row>
    <row r="90" spans="2:6" ht="12.75">
      <c r="B90" s="34"/>
      <c r="F90" s="40"/>
    </row>
    <row r="91" spans="2:6" ht="12.75">
      <c r="B91" s="36" t="s">
        <v>72</v>
      </c>
      <c r="F91" s="40"/>
    </row>
    <row r="92" spans="2:6" ht="12.75">
      <c r="B92" s="34" t="s">
        <v>73</v>
      </c>
      <c r="F92" s="40">
        <f>ROUND(0.04*PEC,0)</f>
        <v>81189</v>
      </c>
    </row>
    <row r="93" spans="2:6" ht="12.75">
      <c r="B93" s="34" t="s">
        <v>74</v>
      </c>
      <c r="F93" s="40">
        <f>ROUND(0.5*PEC,0)</f>
        <v>1014858</v>
      </c>
    </row>
    <row r="94" spans="2:6" ht="12.75">
      <c r="B94" s="34" t="s">
        <v>75</v>
      </c>
      <c r="F94" s="40">
        <f>ROUND(0.08*PEC,0)</f>
        <v>162377</v>
      </c>
    </row>
    <row r="95" spans="2:6" ht="12.75">
      <c r="B95" s="34" t="s">
        <v>76</v>
      </c>
      <c r="F95" s="40">
        <f>ROUND(0.01*PEC,0)</f>
        <v>20297</v>
      </c>
    </row>
    <row r="96" spans="2:6" ht="12.75">
      <c r="B96" s="34" t="s">
        <v>77</v>
      </c>
      <c r="F96" s="40">
        <f>ROUND(0.02*PEC,0)</f>
        <v>40594</v>
      </c>
    </row>
    <row r="97" spans="2:6" ht="12.75">
      <c r="B97" s="34" t="s">
        <v>78</v>
      </c>
      <c r="F97" s="41">
        <f>ROUND(0.02*PEC,0)</f>
        <v>40594</v>
      </c>
    </row>
    <row r="98" spans="2:6" ht="12.75">
      <c r="B98" s="34"/>
      <c r="C98" t="s">
        <v>79</v>
      </c>
      <c r="F98" s="40">
        <f>SUM(F92:F97)</f>
        <v>1359909</v>
      </c>
    </row>
    <row r="99" spans="2:6" ht="13.5" thickBot="1">
      <c r="B99" s="34"/>
      <c r="F99" s="40"/>
    </row>
    <row r="100" spans="2:6" ht="12.75">
      <c r="B100" s="34" t="s">
        <v>80</v>
      </c>
      <c r="F100" s="23"/>
    </row>
    <row r="101" spans="2:6" ht="13.5" thickBot="1">
      <c r="B101" s="34" t="s">
        <v>81</v>
      </c>
      <c r="F101" s="24"/>
    </row>
    <row r="102" spans="2:7" ht="12.75">
      <c r="B102" s="34"/>
      <c r="C102" s="34" t="s">
        <v>82</v>
      </c>
      <c r="F102" s="40">
        <f>PEC+F98+siteprep+buildings</f>
        <v>3389625</v>
      </c>
      <c r="G102" s="34"/>
    </row>
    <row r="103" spans="2:7" ht="12.75">
      <c r="B103" s="34"/>
      <c r="F103" s="40"/>
      <c r="G103" s="34"/>
    </row>
    <row r="104" spans="2:7" ht="12.75">
      <c r="B104" s="36" t="s">
        <v>83</v>
      </c>
      <c r="F104" s="40"/>
      <c r="G104" s="34"/>
    </row>
    <row r="105" spans="2:7" ht="12.75">
      <c r="B105" s="34" t="s">
        <v>84</v>
      </c>
      <c r="F105" s="40">
        <f>ROUND(0.2*PEC,0)</f>
        <v>405943</v>
      </c>
      <c r="G105" s="34"/>
    </row>
    <row r="106" spans="2:7" ht="12.75">
      <c r="B106" s="34" t="s">
        <v>85</v>
      </c>
      <c r="F106" s="40">
        <f>ROUND(0.2*PEC,0)</f>
        <v>405943</v>
      </c>
      <c r="G106" s="34"/>
    </row>
    <row r="107" spans="2:7" ht="12.75">
      <c r="B107" s="34" t="s">
        <v>86</v>
      </c>
      <c r="F107" s="40">
        <f>ROUND(0.1*PEC,0)</f>
        <v>202972</v>
      </c>
      <c r="G107" s="34"/>
    </row>
    <row r="108" spans="2:7" ht="12.75">
      <c r="B108" s="34" t="s">
        <v>87</v>
      </c>
      <c r="F108" s="40">
        <f>ROUND(0.01*PEC,0)</f>
        <v>20297</v>
      </c>
      <c r="G108" s="34"/>
    </row>
    <row r="109" spans="2:7" ht="12.75">
      <c r="B109" s="34" t="s">
        <v>88</v>
      </c>
      <c r="F109" s="40">
        <f>ROUND(0.01*PEC,0)</f>
        <v>20297</v>
      </c>
      <c r="G109" s="34"/>
    </row>
    <row r="110" spans="2:7" ht="12.75">
      <c r="B110" s="34" t="s">
        <v>89</v>
      </c>
      <c r="F110" s="40">
        <f>ROUND(0.02*PEC,0)</f>
        <v>40594</v>
      </c>
      <c r="G110" s="34"/>
    </row>
    <row r="111" spans="2:7" ht="12.75">
      <c r="B111" s="34" t="s">
        <v>90</v>
      </c>
      <c r="F111" s="41">
        <f>ROUND(0.03*PEC,0)</f>
        <v>60891</v>
      </c>
      <c r="G111" s="34"/>
    </row>
    <row r="112" spans="2:7" ht="12.75">
      <c r="B112" s="34"/>
      <c r="C112" t="s">
        <v>91</v>
      </c>
      <c r="F112" s="40">
        <f>SUM(F105:F111)</f>
        <v>1156937</v>
      </c>
      <c r="G112" s="34"/>
    </row>
    <row r="113" spans="2:7" ht="12.75">
      <c r="B113" s="34"/>
      <c r="F113" s="40"/>
      <c r="G113" s="34"/>
    </row>
    <row r="114" spans="2:7" ht="12.75">
      <c r="B114" s="36" t="s">
        <v>92</v>
      </c>
      <c r="F114" s="40">
        <f>(DC+IC)*G76</f>
        <v>6365186.8</v>
      </c>
      <c r="G114" s="34"/>
    </row>
    <row r="115" spans="2:9" ht="12.75">
      <c r="B115" s="36" t="s">
        <v>93</v>
      </c>
      <c r="F115" s="34"/>
      <c r="G115" s="40">
        <f>F114*G68/320</f>
        <v>7843103.610125</v>
      </c>
      <c r="H115" s="52">
        <f>TCIforyouryear/flue</f>
        <v>17.109737369382636</v>
      </c>
      <c r="I115" t="s">
        <v>129</v>
      </c>
    </row>
    <row r="116" spans="8:9" ht="12.75">
      <c r="H116" s="52">
        <f>TCIforyouryear/H3/1000</f>
        <v>52.28735740083333</v>
      </c>
      <c r="I116" t="s">
        <v>130</v>
      </c>
    </row>
    <row r="117" spans="1:9" ht="15.75">
      <c r="A117" s="42" t="s">
        <v>94</v>
      </c>
      <c r="B117" s="43"/>
      <c r="C117" s="43"/>
      <c r="D117" s="43"/>
      <c r="E117" s="43"/>
      <c r="F117" s="43"/>
      <c r="G117" s="15"/>
      <c r="H117" s="54">
        <f>TCIforyouryear/H3</f>
        <v>52287.35740083333</v>
      </c>
      <c r="I117" t="s">
        <v>131</v>
      </c>
    </row>
    <row r="118" spans="1:6" ht="15.75">
      <c r="A118" s="44"/>
      <c r="B118" s="34"/>
      <c r="C118" s="34"/>
      <c r="D118" s="34"/>
      <c r="E118" s="34"/>
      <c r="F118" s="34"/>
    </row>
    <row r="119" spans="1:6" ht="12.75">
      <c r="A119" s="34"/>
      <c r="B119" s="34" t="s">
        <v>95</v>
      </c>
      <c r="C119" s="34"/>
      <c r="D119" s="34"/>
      <c r="E119" s="34"/>
      <c r="F119" s="34"/>
    </row>
    <row r="120" spans="1:6" ht="12.75">
      <c r="A120" s="34"/>
      <c r="B120" s="34" t="s">
        <v>96</v>
      </c>
      <c r="C120" s="34"/>
      <c r="D120" s="34"/>
      <c r="E120" s="34"/>
      <c r="F120" s="34"/>
    </row>
    <row r="121" spans="1:6" ht="12.75">
      <c r="A121" s="34"/>
      <c r="B121" s="36" t="s">
        <v>97</v>
      </c>
      <c r="C121" s="34"/>
      <c r="D121" s="34"/>
      <c r="E121" s="34"/>
      <c r="F121" s="40">
        <f>IF(signalCE=1,(hours/24)*3*costlabor,(hours/24)*3*12)</f>
        <v>16064.745</v>
      </c>
    </row>
    <row r="122" spans="1:6" ht="12.75">
      <c r="A122" s="34"/>
      <c r="B122" s="34" t="s">
        <v>98</v>
      </c>
      <c r="C122" s="34"/>
      <c r="D122" s="34"/>
      <c r="E122" s="34"/>
      <c r="F122" s="40">
        <f>ROUND(0.15*F121,0)</f>
        <v>2410</v>
      </c>
    </row>
    <row r="123" spans="1:6" ht="12.75">
      <c r="A123" s="34"/>
      <c r="B123" s="34" t="s">
        <v>99</v>
      </c>
      <c r="C123" s="34"/>
      <c r="D123" s="34"/>
      <c r="E123" s="34"/>
      <c r="F123" s="40">
        <f>ROUND(F121/3,0)</f>
        <v>5355</v>
      </c>
    </row>
    <row r="124" spans="1:6" ht="12.75">
      <c r="A124" s="34"/>
      <c r="B124" s="34" t="s">
        <v>100</v>
      </c>
      <c r="C124" s="34"/>
      <c r="D124" s="34"/>
      <c r="E124" s="34"/>
      <c r="F124" s="40"/>
    </row>
    <row r="125" spans="1:6" ht="12.75">
      <c r="A125" s="34"/>
      <c r="B125" s="34"/>
      <c r="C125" s="34"/>
      <c r="D125" s="34"/>
      <c r="E125" s="34"/>
      <c r="F125" s="40"/>
    </row>
    <row r="126" spans="1:6" ht="12.75">
      <c r="A126" s="34"/>
      <c r="B126" s="34" t="s">
        <v>101</v>
      </c>
      <c r="C126" s="34"/>
      <c r="D126" s="34"/>
      <c r="E126" s="34"/>
      <c r="F126" s="40"/>
    </row>
    <row r="127" spans="1:6" ht="12.75">
      <c r="A127" s="34"/>
      <c r="B127" s="36" t="s">
        <v>102</v>
      </c>
      <c r="C127" s="34"/>
      <c r="D127" s="34"/>
      <c r="E127" s="34"/>
      <c r="F127" s="40">
        <f>IF(signalCE=1,IF(area&gt;50000,ROUND(0.0825*area*G68/320,0),4125*G68/320),IF(area&gt;50000,ROUND(0.0825*area,0),4125))</f>
        <v>6584</v>
      </c>
    </row>
    <row r="128" spans="1:6" ht="12.75">
      <c r="A128" s="34"/>
      <c r="B128" s="34" t="s">
        <v>103</v>
      </c>
      <c r="C128" s="34"/>
      <c r="D128" s="34"/>
      <c r="E128" s="34"/>
      <c r="F128" s="40">
        <f>ROUND(0.01*PEC,0)</f>
        <v>20297</v>
      </c>
    </row>
    <row r="129" spans="1:6" ht="12.75">
      <c r="A129" s="34"/>
      <c r="B129" s="34" t="s">
        <v>104</v>
      </c>
      <c r="C129" s="34"/>
      <c r="D129" s="34"/>
      <c r="E129" s="34"/>
      <c r="F129" s="40"/>
    </row>
    <row r="130" spans="1:8" ht="12.75">
      <c r="A130" s="34"/>
      <c r="B130" s="34" t="s">
        <v>105</v>
      </c>
      <c r="C130" s="34"/>
      <c r="D130" s="34"/>
      <c r="E130" s="34"/>
      <c r="F130" s="40">
        <f>IF(signalCE=1,ROUND(0.000181*flue*4.48*hours*costpower,0),ROUND(0.000181*flue*4.48*hours*0.06,0))</f>
        <v>166064</v>
      </c>
      <c r="G130" s="11">
        <f>(F130+F132)/0.06/150</f>
        <v>24689</v>
      </c>
      <c r="H130" t="s">
        <v>143</v>
      </c>
    </row>
    <row r="131" spans="1:6" ht="12.75">
      <c r="A131" s="34"/>
      <c r="B131" s="36" t="s">
        <v>106</v>
      </c>
      <c r="C131" s="34"/>
      <c r="D131" s="34"/>
      <c r="E131" s="34"/>
      <c r="F131" s="40"/>
    </row>
    <row r="132" spans="1:6" ht="12.75">
      <c r="A132" s="34"/>
      <c r="B132" s="34" t="s">
        <v>107</v>
      </c>
      <c r="C132" s="34"/>
      <c r="D132" s="34"/>
      <c r="E132" s="34"/>
      <c r="F132" s="40">
        <f>IF(signalCE=1,ROUND(0.00194*area*hours*costpower,0),ROUND(0.00194*area*hours*0.06,0))</f>
        <v>56137</v>
      </c>
    </row>
    <row r="133" spans="1:6" ht="13.5" thickBot="1">
      <c r="A133" s="34"/>
      <c r="B133" s="36" t="s">
        <v>108</v>
      </c>
      <c r="C133" s="34"/>
      <c r="D133" s="34"/>
      <c r="E133" s="34"/>
      <c r="F133" s="40"/>
    </row>
    <row r="134" spans="1:8" ht="13.5" thickBot="1">
      <c r="A134" s="34"/>
      <c r="B134" s="34" t="s">
        <v>109</v>
      </c>
      <c r="C134" s="34"/>
      <c r="D134" s="47">
        <v>2</v>
      </c>
      <c r="E134" s="34" t="s">
        <v>110</v>
      </c>
      <c r="F134" s="40">
        <f>IF(signalCE=1,ROUND(0.00000429*load*hours*flue*(costtip+0.5*D134),0),ROUND(0.00000429*load*hours*flue*(20+0.5*D134),0))</f>
        <v>74678</v>
      </c>
      <c r="G134" s="56">
        <f>F46*D47*D45/7000/2000/150</f>
        <v>0.16253554285714286</v>
      </c>
      <c r="H134" t="s">
        <v>142</v>
      </c>
    </row>
    <row r="135" spans="1:6" ht="12.75">
      <c r="A135" s="34"/>
      <c r="B135" s="34"/>
      <c r="C135" s="36" t="s">
        <v>111</v>
      </c>
      <c r="D135" s="34"/>
      <c r="E135" s="34"/>
      <c r="F135" s="41"/>
    </row>
    <row r="136" spans="1:6" ht="12.75">
      <c r="A136" s="34"/>
      <c r="B136" s="34"/>
      <c r="C136" s="36" t="s">
        <v>112</v>
      </c>
      <c r="D136" s="34" t="str">
        <f>IF(signalCE=1,"your year dollars","base year dollars")</f>
        <v>your year dollars</v>
      </c>
      <c r="E136" s="34"/>
      <c r="F136" s="40">
        <f>SUM(F121:F134)</f>
        <v>347589.745</v>
      </c>
    </row>
    <row r="137" spans="1:6" ht="12.75">
      <c r="A137" s="34"/>
      <c r="B137" s="34" t="s">
        <v>113</v>
      </c>
      <c r="C137" s="34"/>
      <c r="D137" s="34"/>
      <c r="E137" s="34"/>
      <c r="F137" s="40"/>
    </row>
    <row r="138" spans="1:6" ht="12.75">
      <c r="A138" s="34"/>
      <c r="B138" s="34" t="s">
        <v>114</v>
      </c>
      <c r="C138" s="34"/>
      <c r="D138" s="34"/>
      <c r="E138" s="34"/>
      <c r="F138" s="40">
        <f>IF(signalCE=1,ROUND(0.6*G68/320*(SUM(F121:F128)),0),ROUND(0.6*(SUM(F121:F128)),0))</f>
        <v>37491</v>
      </c>
    </row>
    <row r="139" spans="1:6" ht="12.75">
      <c r="A139" s="34"/>
      <c r="B139" s="34" t="s">
        <v>115</v>
      </c>
      <c r="C139" s="34"/>
      <c r="D139" s="34"/>
      <c r="E139" s="34"/>
      <c r="F139" s="40">
        <f>IF(signalCE=1,ROUND(0.02*TCIforyouryear,0),ROUND(0.02*TCI,0))</f>
        <v>156862</v>
      </c>
    </row>
    <row r="140" spans="1:6" ht="12.75">
      <c r="A140" s="34"/>
      <c r="B140" s="34" t="s">
        <v>116</v>
      </c>
      <c r="C140" s="34"/>
      <c r="D140" s="34"/>
      <c r="E140" s="34"/>
      <c r="F140" s="40">
        <f>IF(signalCE=1,ROUND(0.01*TCIforyouryear,0),ROUND(0.01*TCI,0))</f>
        <v>78431</v>
      </c>
    </row>
    <row r="141" spans="1:6" ht="12.75">
      <c r="A141" s="34"/>
      <c r="B141" s="34" t="s">
        <v>117</v>
      </c>
      <c r="C141" s="34"/>
      <c r="D141" s="34"/>
      <c r="E141" s="34"/>
      <c r="F141" s="40">
        <f>IF(signalCE=1,ROUND(0.01*TCIforyouryear,0),ROUND(0.01*TCI,0))</f>
        <v>78431</v>
      </c>
    </row>
    <row r="142" spans="1:6" ht="12.75">
      <c r="A142" s="34"/>
      <c r="B142" s="36" t="s">
        <v>118</v>
      </c>
      <c r="C142" s="34"/>
      <c r="D142" s="34"/>
      <c r="E142" s="34"/>
      <c r="F142" s="40">
        <f>IF(signalCE=1,ROUND(G73*(1+G73)^G74/((1+G73)^G74-1)*TCIforyouryear,0),ROUND(0.1175*TCI,0))</f>
        <v>740333</v>
      </c>
    </row>
    <row r="143" spans="1:6" ht="12.75">
      <c r="A143" s="34"/>
      <c r="B143" s="34"/>
      <c r="C143" s="34"/>
      <c r="D143" s="34"/>
      <c r="E143" s="34"/>
      <c r="F143" s="41"/>
    </row>
    <row r="144" spans="1:6" ht="12.75">
      <c r="A144" s="34"/>
      <c r="B144" s="34"/>
      <c r="C144" s="36" t="s">
        <v>119</v>
      </c>
      <c r="D144" s="34" t="str">
        <f>IF(signalCE=1,"your year dollars","base year dollars")</f>
        <v>your year dollars</v>
      </c>
      <c r="E144" s="34"/>
      <c r="F144" s="40">
        <f>SUM(F138:F142)</f>
        <v>1091548</v>
      </c>
    </row>
    <row r="145" spans="1:6" ht="12.75">
      <c r="A145" s="34"/>
      <c r="B145" s="34"/>
      <c r="C145" s="34"/>
      <c r="D145" s="34"/>
      <c r="E145" s="34"/>
      <c r="F145" s="40"/>
    </row>
    <row r="146" spans="1:9" ht="12.75">
      <c r="A146" s="45"/>
      <c r="B146" s="46" t="s">
        <v>120</v>
      </c>
      <c r="C146" s="45"/>
      <c r="D146" s="34" t="str">
        <f>IF(signalCE=1,"your year dollars","base year dollars")</f>
        <v>your year dollars</v>
      </c>
      <c r="E146" s="34"/>
      <c r="F146" s="40">
        <f>F136+F144</f>
        <v>1439137.745</v>
      </c>
      <c r="H146" s="53">
        <f>F146/flue</f>
        <v>3.139480246509599</v>
      </c>
      <c r="I146" t="s">
        <v>129</v>
      </c>
    </row>
    <row r="147" spans="1:9" ht="12.75">
      <c r="A147" s="46"/>
      <c r="B147" s="45"/>
      <c r="C147" s="45"/>
      <c r="D147" s="45"/>
      <c r="E147" s="34"/>
      <c r="F147" s="34"/>
      <c r="H147" s="53">
        <f>F146/H3/1000</f>
        <v>9.594251633333334</v>
      </c>
      <c r="I147" t="s">
        <v>130</v>
      </c>
    </row>
    <row r="148" spans="8:9" ht="12.75">
      <c r="H148" s="55">
        <f>F146/H3</f>
        <v>9594.251633333333</v>
      </c>
      <c r="I148" t="s">
        <v>131</v>
      </c>
    </row>
    <row r="153" ht="12.75">
      <c r="G153" s="9"/>
    </row>
    <row r="155" spans="1:7" ht="12.75"/>
    <row r="164" spans="1:7" ht="12.75">
      <c r="A164">
        <v>0.5</v>
      </c>
      <c r="B164">
        <v>0.75</v>
      </c>
      <c r="C164">
        <v>0.9</v>
      </c>
      <c r="D164">
        <v>0.95</v>
      </c>
      <c r="E164">
        <v>0.99</v>
      </c>
      <c r="F164">
        <v>0.995</v>
      </c>
      <c r="G164">
        <v>0.999</v>
      </c>
    </row>
    <row r="165" spans="1:7" ht="12.75">
      <c r="A165" s="7">
        <v>308802</v>
      </c>
      <c r="B165" s="7">
        <v>378309</v>
      </c>
      <c r="C165" s="7">
        <v>416839</v>
      </c>
      <c r="D165" s="7">
        <v>517794</v>
      </c>
      <c r="E165" s="7">
        <v>673798</v>
      </c>
      <c r="F165" s="7">
        <v>589425</v>
      </c>
      <c r="G165" s="7">
        <v>680192</v>
      </c>
    </row>
  </sheetData>
  <printOptions/>
  <pageMargins left="0.75" right="0.75" top="1" bottom="1" header="0.5" footer="0.5"/>
  <pageSetup orientation="portrait"/>
  <headerFooter alignWithMargins="0">
    <oddFooter>&amp;L&amp;F&amp;C&amp;P&amp;R&amp;8&amp;D &amp;T</oddFooter>
  </headerFooter>
  <rowBreaks count="4" manualBreakCount="4">
    <brk id="47" max="65535" man="1"/>
    <brk id="78" max="65535" man="1"/>
    <brk id="114" max="65535" man="1"/>
    <brk id="15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2.28125" style="0" customWidth="1"/>
    <col min="4" max="4" width="11.140625" style="0" customWidth="1"/>
    <col min="5" max="5" width="10.421875" style="0" customWidth="1"/>
    <col min="6" max="6" width="11.421875" style="0" customWidth="1"/>
    <col min="7" max="7" width="12.00390625" style="0" customWidth="1"/>
    <col min="8" max="8" width="10.8515625" style="0" customWidth="1"/>
  </cols>
  <sheetData>
    <row r="1" ht="19.5">
      <c r="D1" s="1" t="s">
        <v>0</v>
      </c>
    </row>
    <row r="2" ht="13.5" thickBot="1"/>
    <row r="3" spans="1:8" ht="13.5" thickBot="1">
      <c r="A3" s="2" t="s">
        <v>1</v>
      </c>
      <c r="B3" s="25" t="s">
        <v>152</v>
      </c>
      <c r="C3" s="16"/>
      <c r="D3" s="16"/>
      <c r="E3" s="16"/>
      <c r="F3" s="16"/>
      <c r="G3" s="17"/>
      <c r="H3">
        <v>70</v>
      </c>
    </row>
    <row r="5" ht="12.75">
      <c r="B5" s="18" t="s">
        <v>2</v>
      </c>
    </row>
    <row r="7" spans="1:4" ht="12.75">
      <c r="A7" s="2" t="s">
        <v>3</v>
      </c>
      <c r="D7" s="2" t="str">
        <f>IF(T=2,"Flat Plate Design","Plate-Wire Design")</f>
        <v>Flat Plate Design</v>
      </c>
    </row>
    <row r="8" spans="2:6" ht="13.5" thickBot="1">
      <c r="B8" s="5" t="s">
        <v>4</v>
      </c>
      <c r="C8" s="5"/>
      <c r="D8" s="5"/>
      <c r="E8" s="12">
        <v>2</v>
      </c>
      <c r="F8" t="s">
        <v>5</v>
      </c>
    </row>
    <row r="9" spans="2:8" ht="13.5" thickBot="1">
      <c r="B9" s="5" t="s">
        <v>6</v>
      </c>
      <c r="C9" s="5"/>
      <c r="D9" s="5"/>
      <c r="E9" s="19">
        <v>0.8</v>
      </c>
      <c r="F9" s="2"/>
      <c r="G9" s="2"/>
      <c r="H9" s="2"/>
    </row>
    <row r="10" spans="2:5" ht="13.5" thickBot="1">
      <c r="B10" s="5" t="s">
        <v>7</v>
      </c>
      <c r="C10" s="5"/>
      <c r="D10" s="5"/>
      <c r="E10" s="10">
        <f>(1-E)</f>
        <v>0.19999999999999996</v>
      </c>
    </row>
    <row r="11" spans="2:8" ht="12.75">
      <c r="B11" s="5" t="s">
        <v>8</v>
      </c>
      <c r="C11" s="5"/>
      <c r="D11" s="5"/>
      <c r="E11" s="20">
        <v>413</v>
      </c>
      <c r="F11" s="9"/>
      <c r="G11" s="9"/>
      <c r="H11" s="9"/>
    </row>
    <row r="12" spans="2:8" ht="12.75">
      <c r="B12" s="5" t="s">
        <v>9</v>
      </c>
      <c r="C12" s="5"/>
      <c r="D12" s="5"/>
      <c r="E12" s="21">
        <v>2000000000</v>
      </c>
      <c r="G12" s="8"/>
      <c r="H12" s="2"/>
    </row>
    <row r="13" spans="2:8" ht="13.5" thickBot="1">
      <c r="B13" s="5" t="s">
        <v>10</v>
      </c>
      <c r="C13" s="5"/>
      <c r="D13" s="5"/>
      <c r="E13" s="26">
        <v>3.5</v>
      </c>
      <c r="F13" s="2"/>
      <c r="G13" s="2"/>
      <c r="H13" s="2"/>
    </row>
    <row r="14" spans="2:8" ht="13.5" thickBot="1">
      <c r="B14" s="5" t="s">
        <v>11</v>
      </c>
      <c r="C14" s="5"/>
      <c r="D14" s="5"/>
      <c r="E14" s="5">
        <f>+IF(T=1,0.07,0.1)</f>
        <v>0.1</v>
      </c>
      <c r="F14" s="2"/>
      <c r="G14" s="2"/>
      <c r="H14" s="2"/>
    </row>
    <row r="15" spans="2:8" ht="12.75">
      <c r="B15" s="5" t="s">
        <v>12</v>
      </c>
      <c r="C15" s="5"/>
      <c r="D15" s="5"/>
      <c r="E15" s="20">
        <v>0.124</v>
      </c>
      <c r="F15" s="2"/>
      <c r="G15" s="2"/>
      <c r="H15" s="2"/>
    </row>
    <row r="16" spans="2:8" ht="13.5" thickBot="1">
      <c r="B16" s="5" t="s">
        <v>13</v>
      </c>
      <c r="C16" s="5"/>
      <c r="D16" s="5"/>
      <c r="E16" s="26">
        <v>2</v>
      </c>
      <c r="F16" s="2"/>
      <c r="G16" s="2"/>
      <c r="H16" s="2"/>
    </row>
    <row r="17" spans="2:8" ht="12.75">
      <c r="B17" s="5" t="s">
        <v>14</v>
      </c>
      <c r="C17" s="5"/>
      <c r="D17" s="5"/>
      <c r="E17" s="27">
        <f>IF(MMDi&lt;5,3,5)</f>
        <v>3</v>
      </c>
      <c r="F17" s="2"/>
      <c r="G17" s="2"/>
      <c r="H17" s="2"/>
    </row>
    <row r="18" spans="2:8" ht="12.75">
      <c r="B18" s="5" t="s">
        <v>15</v>
      </c>
      <c r="C18" s="5"/>
      <c r="D18" s="5"/>
      <c r="E18" s="27">
        <f>+Sn+RR*(1-Sn)</f>
        <v>0.2116</v>
      </c>
      <c r="F18" s="2"/>
      <c r="G18" s="2"/>
      <c r="H18" s="2"/>
    </row>
    <row r="19" spans="2:8" ht="12.75">
      <c r="B19" s="5" t="s">
        <v>16</v>
      </c>
      <c r="C19" s="5"/>
      <c r="D19" s="5"/>
      <c r="E19" s="28">
        <f>630000*(273/Tk)^1.65</f>
        <v>318193.5206075361</v>
      </c>
      <c r="F19" s="5" t="s">
        <v>17</v>
      </c>
      <c r="G19" s="2"/>
      <c r="H19" s="2"/>
    </row>
    <row r="20" spans="2:8" ht="12.75">
      <c r="B20" s="5" t="s">
        <v>18</v>
      </c>
      <c r="C20" s="5"/>
      <c r="D20" s="5"/>
      <c r="E20" s="27">
        <f>0.0000172*(Tk/273)^0.71</f>
        <v>2.30769019164502E-05</v>
      </c>
      <c r="F20" s="5" t="s">
        <v>19</v>
      </c>
      <c r="G20" s="2"/>
      <c r="H20" s="2"/>
    </row>
    <row r="21" spans="2:8" ht="12.75">
      <c r="B21" s="5" t="s">
        <v>20</v>
      </c>
      <c r="C21" s="5"/>
      <c r="D21" s="5"/>
      <c r="E21" s="29">
        <v>8.845E-12</v>
      </c>
      <c r="F21" s="5" t="s">
        <v>21</v>
      </c>
      <c r="G21" s="2"/>
      <c r="H21" s="2"/>
    </row>
    <row r="22" spans="2:8" ht="12.75">
      <c r="B22" s="5" t="s">
        <v>22</v>
      </c>
      <c r="C22" s="5"/>
      <c r="D22" s="5"/>
      <c r="E22" s="28">
        <f>IF(Res&gt;200000000000,IF(T=1,0.7*Ebd/1.75,0.7*Ebd*5/6.3),IF(T=1,Ebd/1.75,Ebd*5/6.3))</f>
        <v>252534.5401647112</v>
      </c>
      <c r="F22" s="2"/>
      <c r="G22" s="2"/>
      <c r="H22" s="2"/>
    </row>
    <row r="23" spans="2:8" ht="12.75">
      <c r="B23" s="5" t="s">
        <v>23</v>
      </c>
      <c r="C23" s="5"/>
      <c r="D23" s="5"/>
      <c r="E23" s="27">
        <f>IF(LF&lt;p,1,IF(LF^2&lt;p,2,IF(LF^3&lt;p,3,IF(LF^4&lt;p,4,IF(LF^5&lt;p,5,IF(LF^6&lt;p,6,IF(LF^7&lt;p,7,0)))))))</f>
        <v>2</v>
      </c>
      <c r="F23" s="2"/>
      <c r="G23" s="2"/>
      <c r="H23" s="2"/>
    </row>
    <row r="24" spans="2:8" ht="12.75">
      <c r="B24" s="5" t="s">
        <v>24</v>
      </c>
      <c r="C24" s="5"/>
      <c r="D24" s="5"/>
      <c r="E24" s="30">
        <f>p^(1/No.)</f>
        <v>0.44721359549995787</v>
      </c>
      <c r="F24" s="2"/>
      <c r="G24" s="2"/>
      <c r="H24" s="2"/>
    </row>
    <row r="25" spans="2:8" ht="12.75">
      <c r="B25" s="5" t="s">
        <v>25</v>
      </c>
      <c r="C25" s="5"/>
      <c r="D25" s="5"/>
      <c r="E25" s="30">
        <f>IF((Ps-LF)/(1-LF)&gt;0,(Ps-LF)/(1-LF),0)</f>
        <v>0.2988503240740206</v>
      </c>
      <c r="F25" s="2"/>
      <c r="G25" s="2"/>
      <c r="H25" s="2"/>
    </row>
    <row r="26" spans="2:8" ht="12.75">
      <c r="B26" s="5" t="s">
        <v>26</v>
      </c>
      <c r="C26" s="5"/>
      <c r="D26" s="5"/>
      <c r="E26" s="30">
        <f>Sn+Pc*(1-Sn)+RR*(1-Sn)*(1-Pc)</f>
        <v>0.4472135954999579</v>
      </c>
      <c r="F26" s="2"/>
      <c r="G26" s="2"/>
      <c r="H26" s="2"/>
    </row>
    <row r="27" spans="2:8" ht="12.75">
      <c r="B27" s="5" t="s">
        <v>27</v>
      </c>
      <c r="C27" s="5"/>
      <c r="D27" s="5"/>
      <c r="E27" s="30">
        <f>RR*(1-Sn)*(1-Pc)*MMDr/D</f>
        <v>0.5249055794862122</v>
      </c>
      <c r="F27" s="2"/>
      <c r="G27" s="2"/>
      <c r="H27" s="2"/>
    </row>
    <row r="28" spans="2:8" ht="12.75">
      <c r="B28" s="5" t="s">
        <v>28</v>
      </c>
      <c r="C28" s="5"/>
      <c r="D28" s="5">
        <v>1</v>
      </c>
      <c r="E28" s="27">
        <f>MMDi</f>
        <v>3.5</v>
      </c>
      <c r="F28" s="2"/>
      <c r="G28" s="2"/>
      <c r="H28" s="2"/>
    </row>
    <row r="29" spans="2:8" ht="12.75">
      <c r="B29" s="2"/>
      <c r="C29" s="2"/>
      <c r="D29" s="5">
        <v>2</v>
      </c>
      <c r="E29" s="31">
        <f aca="true" t="shared" si="0" ref="E29:E34">IF(No.&lt;D29,0,(E28*Sn+((1-Pc)*MMDp+Pc*E28)*Pc)/D+MMDrp)</f>
        <v>2.9435885831581428</v>
      </c>
      <c r="F29" s="2"/>
      <c r="G29" s="2"/>
      <c r="H29" s="2"/>
    </row>
    <row r="30" spans="2:8" ht="12.75">
      <c r="B30" s="2"/>
      <c r="C30" s="2"/>
      <c r="D30" s="5">
        <v>3</v>
      </c>
      <c r="E30" s="31">
        <f t="shared" si="0"/>
        <v>0</v>
      </c>
      <c r="F30" s="2"/>
      <c r="G30" s="2"/>
      <c r="H30" s="2"/>
    </row>
    <row r="31" spans="2:8" ht="12.75">
      <c r="B31" s="2"/>
      <c r="C31" s="2"/>
      <c r="D31" s="5">
        <v>4</v>
      </c>
      <c r="E31" s="31">
        <f t="shared" si="0"/>
        <v>0</v>
      </c>
      <c r="F31" s="2"/>
      <c r="G31" s="2"/>
      <c r="H31" s="2"/>
    </row>
    <row r="32" spans="2:8" ht="12.75">
      <c r="B32" s="2"/>
      <c r="C32" s="2"/>
      <c r="D32" s="5">
        <v>5</v>
      </c>
      <c r="E32" s="31">
        <f t="shared" si="0"/>
        <v>0</v>
      </c>
      <c r="F32" s="2"/>
      <c r="G32" s="2"/>
      <c r="H32" s="2"/>
    </row>
    <row r="33" spans="2:8" ht="12.75">
      <c r="B33" s="2"/>
      <c r="C33" s="2"/>
      <c r="D33" s="5">
        <v>6</v>
      </c>
      <c r="E33" s="31">
        <f t="shared" si="0"/>
        <v>0</v>
      </c>
      <c r="F33" s="2"/>
      <c r="G33" s="2"/>
      <c r="H33" s="2"/>
    </row>
    <row r="34" spans="2:8" ht="12.75">
      <c r="B34" s="2"/>
      <c r="C34" s="2"/>
      <c r="D34" s="5">
        <v>7</v>
      </c>
      <c r="E34" s="31">
        <f t="shared" si="0"/>
        <v>0</v>
      </c>
      <c r="F34" s="2"/>
      <c r="G34" s="2"/>
      <c r="H34" s="2"/>
    </row>
    <row r="35" spans="2:8" ht="12.75">
      <c r="B35" t="s">
        <v>29</v>
      </c>
      <c r="C35" s="2"/>
      <c r="D35" s="5">
        <v>1</v>
      </c>
      <c r="E35" s="32">
        <f aca="true" t="shared" si="1" ref="E35:E41">IF(No.&lt;D35,0,-(n/e0)*(1-Sn)*LN(Pc)/(Eavg^2*E28*0.000001))</f>
        <v>12.706093577977311</v>
      </c>
      <c r="F35" s="2"/>
      <c r="G35" s="2"/>
      <c r="H35" s="2"/>
    </row>
    <row r="36" spans="2:5" ht="12.75">
      <c r="B36" s="3"/>
      <c r="D36">
        <v>2</v>
      </c>
      <c r="E36" s="32">
        <f t="shared" si="1"/>
        <v>15.10786112480699</v>
      </c>
    </row>
    <row r="37" spans="4:6" ht="12.75">
      <c r="D37">
        <v>3</v>
      </c>
      <c r="E37" s="32">
        <f t="shared" si="1"/>
        <v>0</v>
      </c>
      <c r="F37" s="13"/>
    </row>
    <row r="38" spans="4:6" ht="12.75">
      <c r="D38">
        <v>4</v>
      </c>
      <c r="E38" s="32">
        <f t="shared" si="1"/>
        <v>0</v>
      </c>
      <c r="F38" s="13"/>
    </row>
    <row r="39" spans="4:6" ht="12.75">
      <c r="D39">
        <v>5</v>
      </c>
      <c r="E39" s="32">
        <f t="shared" si="1"/>
        <v>0</v>
      </c>
      <c r="F39" s="14"/>
    </row>
    <row r="40" spans="4:6" ht="12.75">
      <c r="D40">
        <v>6</v>
      </c>
      <c r="E40" s="32">
        <f t="shared" si="1"/>
        <v>0</v>
      </c>
      <c r="F40" s="14"/>
    </row>
    <row r="41" spans="4:6" ht="12.75">
      <c r="D41">
        <v>7</v>
      </c>
      <c r="E41" s="32">
        <f t="shared" si="1"/>
        <v>0</v>
      </c>
      <c r="F41" s="4"/>
    </row>
    <row r="42" spans="2:5" ht="12.75">
      <c r="B42" t="s">
        <v>30</v>
      </c>
      <c r="E42" s="14">
        <f>SUM(E35:E41)</f>
        <v>27.8139547027843</v>
      </c>
    </row>
    <row r="43" spans="2:5" ht="12.75">
      <c r="B43" t="s">
        <v>31</v>
      </c>
      <c r="E43" s="14">
        <f>+E42*5.08</f>
        <v>141.29488989014425</v>
      </c>
    </row>
    <row r="44" ht="13.5" thickBot="1"/>
    <row r="45" spans="1:9" ht="13.5" thickBot="1">
      <c r="A45" t="s">
        <v>32</v>
      </c>
      <c r="D45" s="22">
        <v>213920</v>
      </c>
      <c r="E45" s="34" t="s">
        <v>33</v>
      </c>
      <c r="F45" s="34" t="s">
        <v>34</v>
      </c>
      <c r="G45" s="34"/>
      <c r="I45" t="s">
        <v>35</v>
      </c>
    </row>
    <row r="46" spans="1:7" ht="13.5" thickBot="1">
      <c r="A46" t="s">
        <v>36</v>
      </c>
      <c r="D46" s="11">
        <f>+D45/1000*E43</f>
        <v>30225.802845299655</v>
      </c>
      <c r="E46" s="34" t="s">
        <v>37</v>
      </c>
      <c r="F46" s="51">
        <v>0.1</v>
      </c>
      <c r="G46" s="34" t="s">
        <v>38</v>
      </c>
    </row>
    <row r="47" spans="1:4" ht="13.5" thickBot="1">
      <c r="A47" t="s">
        <v>39</v>
      </c>
      <c r="D47" s="33">
        <v>7446</v>
      </c>
    </row>
    <row r="48" spans="1:7" ht="12.75">
      <c r="A48" s="35" t="s">
        <v>40</v>
      </c>
      <c r="B48" s="34"/>
      <c r="C48" s="34"/>
      <c r="D48" s="34"/>
      <c r="E48" s="34"/>
      <c r="F48" s="34"/>
      <c r="G48" s="34"/>
    </row>
    <row r="49" spans="1:7" ht="12.75">
      <c r="A49" s="34"/>
      <c r="B49" s="34" t="s">
        <v>41</v>
      </c>
      <c r="C49" s="34"/>
      <c r="D49" s="34"/>
      <c r="E49" s="34"/>
      <c r="F49" s="34"/>
      <c r="G49" s="34"/>
    </row>
    <row r="50" spans="1:7" ht="12.75">
      <c r="A50" s="35"/>
      <c r="B50" s="34" t="s">
        <v>42</v>
      </c>
      <c r="C50" s="34"/>
      <c r="D50" s="34"/>
      <c r="E50" s="34"/>
      <c r="F50" s="34"/>
      <c r="G50" s="34"/>
    </row>
    <row r="51" spans="1:7" ht="12.75">
      <c r="A51" s="35"/>
      <c r="B51" s="34" t="s">
        <v>43</v>
      </c>
      <c r="C51" s="34"/>
      <c r="D51" s="34"/>
      <c r="E51" s="34"/>
      <c r="F51" s="34"/>
      <c r="G51" s="34"/>
    </row>
    <row r="52" spans="1:7" ht="12.75">
      <c r="A52" s="35"/>
      <c r="B52" s="34" t="s">
        <v>44</v>
      </c>
      <c r="C52" s="34"/>
      <c r="D52" s="34"/>
      <c r="E52" s="34"/>
      <c r="F52" s="34"/>
      <c r="G52" s="34"/>
    </row>
    <row r="53" spans="1:7" ht="12.75">
      <c r="A53" s="34"/>
      <c r="B53" s="34" t="s">
        <v>45</v>
      </c>
      <c r="C53" s="34"/>
      <c r="D53" s="34"/>
      <c r="E53" s="34"/>
      <c r="F53" s="34"/>
      <c r="G53" s="34"/>
    </row>
    <row r="54" spans="1:7" ht="12.75">
      <c r="A54" s="34"/>
      <c r="B54" s="34" t="s">
        <v>46</v>
      </c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6" t="s">
        <v>47</v>
      </c>
      <c r="C56" s="34"/>
      <c r="D56" s="34"/>
      <c r="E56" s="34"/>
      <c r="F56" s="34"/>
      <c r="G56" s="34"/>
    </row>
    <row r="57" spans="1:7" ht="12.75">
      <c r="A57" s="34"/>
      <c r="B57" s="36" t="s">
        <v>48</v>
      </c>
      <c r="C57" s="34"/>
      <c r="D57" s="34"/>
      <c r="E57" s="34"/>
      <c r="F57" s="34"/>
      <c r="G57" s="34"/>
    </row>
    <row r="58" spans="1:7" ht="12.75">
      <c r="A58" s="34"/>
      <c r="B58" s="36" t="s">
        <v>49</v>
      </c>
      <c r="C58" s="34"/>
      <c r="D58" s="34"/>
      <c r="E58" s="34"/>
      <c r="F58" s="34"/>
      <c r="G58" s="34"/>
    </row>
    <row r="59" spans="1:7" ht="12.75">
      <c r="A59" s="34"/>
      <c r="B59" s="37" t="s">
        <v>50</v>
      </c>
      <c r="C59" s="34"/>
      <c r="D59" s="34"/>
      <c r="E59" s="34"/>
      <c r="F59" s="34"/>
      <c r="G59" s="34"/>
    </row>
    <row r="60" spans="1:7" ht="12.75">
      <c r="A60" s="34"/>
      <c r="B60" s="37" t="s">
        <v>51</v>
      </c>
      <c r="C60" s="34"/>
      <c r="D60" s="34"/>
      <c r="E60" s="34"/>
      <c r="F60" s="34"/>
      <c r="G60" s="34"/>
    </row>
    <row r="61" spans="1:7" ht="12.75">
      <c r="A61" s="34"/>
      <c r="B61" s="37"/>
      <c r="C61" s="34"/>
      <c r="D61" s="34"/>
      <c r="E61" s="34"/>
      <c r="F61" s="34"/>
      <c r="G61" s="34"/>
    </row>
    <row r="62" spans="1:7" ht="12.75">
      <c r="A62" s="34"/>
      <c r="B62" s="36" t="s">
        <v>52</v>
      </c>
      <c r="C62" s="34"/>
      <c r="D62" s="34"/>
      <c r="E62" s="34"/>
      <c r="F62" s="34"/>
      <c r="G62" s="34"/>
    </row>
    <row r="63" spans="1:7" ht="12.75">
      <c r="A63" s="34"/>
      <c r="B63" s="36" t="s">
        <v>53</v>
      </c>
      <c r="C63" s="34"/>
      <c r="D63" s="34"/>
      <c r="E63" s="34"/>
      <c r="F63" s="34"/>
      <c r="G63" s="34"/>
    </row>
    <row r="64" spans="1:7" ht="12.75">
      <c r="A64" s="34"/>
      <c r="B64" s="37"/>
      <c r="C64" s="34"/>
      <c r="D64" s="34"/>
      <c r="E64" s="34"/>
      <c r="F64" s="34"/>
      <c r="G64" s="34"/>
    </row>
    <row r="65" spans="1:7" ht="12.75">
      <c r="A65" s="34"/>
      <c r="B65" s="36" t="s">
        <v>54</v>
      </c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3.5" thickBot="1">
      <c r="A67" s="34"/>
      <c r="B67" s="36" t="s">
        <v>55</v>
      </c>
      <c r="C67" s="34"/>
      <c r="D67" s="34"/>
      <c r="E67" s="34"/>
      <c r="F67" s="34"/>
      <c r="G67" s="34"/>
    </row>
    <row r="68" spans="2:7" ht="12.75">
      <c r="B68" s="36" t="s">
        <v>56</v>
      </c>
      <c r="G68" s="38">
        <v>394.3</v>
      </c>
    </row>
    <row r="69" spans="2:7" ht="12.75">
      <c r="B69" s="34" t="s">
        <v>57</v>
      </c>
      <c r="G69" s="39">
        <v>1</v>
      </c>
    </row>
    <row r="70" spans="2:7" ht="12.75">
      <c r="B70" s="36" t="s">
        <v>58</v>
      </c>
      <c r="G70" s="39">
        <v>17.26</v>
      </c>
    </row>
    <row r="71" spans="2:7" ht="12.75">
      <c r="B71" s="36" t="s">
        <v>59</v>
      </c>
      <c r="G71" s="39">
        <v>0.06</v>
      </c>
    </row>
    <row r="72" spans="2:7" ht="12.75">
      <c r="B72" s="37" t="s">
        <v>60</v>
      </c>
      <c r="G72" s="39">
        <v>50</v>
      </c>
    </row>
    <row r="73" spans="2:7" ht="12.75">
      <c r="B73" s="37" t="s">
        <v>61</v>
      </c>
      <c r="G73" s="39">
        <v>0.07</v>
      </c>
    </row>
    <row r="74" spans="2:7" ht="12.75">
      <c r="B74" s="37" t="s">
        <v>62</v>
      </c>
      <c r="G74" s="39">
        <v>20</v>
      </c>
    </row>
    <row r="75" spans="2:7" ht="12.75">
      <c r="B75" s="48" t="s">
        <v>63</v>
      </c>
      <c r="G75" s="50">
        <v>0</v>
      </c>
    </row>
    <row r="76" spans="2:7" ht="13.5" thickBot="1">
      <c r="B76" s="48" t="s">
        <v>64</v>
      </c>
      <c r="G76" s="49">
        <v>1.4</v>
      </c>
    </row>
    <row r="77" ht="12.75">
      <c r="B77" s="18"/>
    </row>
    <row r="79" ht="15.75">
      <c r="C79" s="6" t="s">
        <v>65</v>
      </c>
    </row>
    <row r="81" ht="12.75">
      <c r="B81" s="36" t="s">
        <v>66</v>
      </c>
    </row>
    <row r="82" ht="12.75">
      <c r="B82" s="34" t="s">
        <v>67</v>
      </c>
    </row>
    <row r="83" spans="2:6" ht="12.75">
      <c r="B83" s="34" t="s">
        <v>122</v>
      </c>
      <c r="F83" s="40">
        <f>F85+F84</f>
        <v>1040121</v>
      </c>
    </row>
    <row r="84" spans="2:6" ht="12.75">
      <c r="B84" s="34" t="s">
        <v>121</v>
      </c>
      <c r="F84" s="40">
        <f>F85*0.8</f>
        <v>462276</v>
      </c>
    </row>
    <row r="85" spans="2:9" ht="15.75">
      <c r="B85" s="34" t="s">
        <v>146</v>
      </c>
      <c r="F85" s="40">
        <f>ROUND(IF(D46&gt;50000,83.91*D46^0.8431,891.1*D46^0.6276),0)</f>
        <v>577845</v>
      </c>
      <c r="H85" s="53">
        <f>F85/D46</f>
        <v>19.117606336463595</v>
      </c>
      <c r="I85" t="s">
        <v>147</v>
      </c>
    </row>
    <row r="86" spans="2:9" ht="12.75">
      <c r="B86" s="34" t="s">
        <v>68</v>
      </c>
      <c r="F86" s="40">
        <f>ROUND(0.1*F83,0)</f>
        <v>104012</v>
      </c>
      <c r="H86" s="53">
        <f>F85/H3/1000</f>
        <v>8.25492857142857</v>
      </c>
      <c r="I86" t="s">
        <v>148</v>
      </c>
    </row>
    <row r="87" spans="2:6" ht="12.75">
      <c r="B87" s="34" t="s">
        <v>69</v>
      </c>
      <c r="F87" s="40">
        <f>ROUND(0.03*F83,0)</f>
        <v>31204</v>
      </c>
    </row>
    <row r="88" spans="2:6" ht="12.75">
      <c r="B88" s="34" t="s">
        <v>70</v>
      </c>
      <c r="F88" s="41">
        <f>ROUND(0.05*F83,0)</f>
        <v>52006</v>
      </c>
    </row>
    <row r="89" spans="2:6" ht="12.75">
      <c r="B89" s="34"/>
      <c r="C89" t="s">
        <v>71</v>
      </c>
      <c r="F89" s="40">
        <f>SUM(F84:F88)</f>
        <v>1227343</v>
      </c>
    </row>
    <row r="90" spans="2:6" ht="12.75">
      <c r="B90" s="34"/>
      <c r="F90" s="40"/>
    </row>
    <row r="91" spans="2:6" ht="12.75">
      <c r="B91" s="36" t="s">
        <v>72</v>
      </c>
      <c r="F91" s="40"/>
    </row>
    <row r="92" spans="2:6" ht="12.75">
      <c r="B92" s="34" t="s">
        <v>73</v>
      </c>
      <c r="F92" s="40">
        <f>ROUND(0.04*F89,0)</f>
        <v>49094</v>
      </c>
    </row>
    <row r="93" spans="2:6" ht="12.75">
      <c r="B93" s="34" t="s">
        <v>74</v>
      </c>
      <c r="F93" s="40">
        <f>ROUND(0.5*F89,0)</f>
        <v>613672</v>
      </c>
    </row>
    <row r="94" spans="2:6" ht="12.75">
      <c r="B94" s="34" t="s">
        <v>75</v>
      </c>
      <c r="F94" s="40">
        <f>ROUND(0.08*F89,0)</f>
        <v>98187</v>
      </c>
    </row>
    <row r="95" spans="2:6" ht="12.75">
      <c r="B95" s="34" t="s">
        <v>76</v>
      </c>
      <c r="F95" s="40">
        <f>ROUND(0.01*F89,0)</f>
        <v>12273</v>
      </c>
    </row>
    <row r="96" spans="2:6" ht="12.75">
      <c r="B96" s="34" t="s">
        <v>77</v>
      </c>
      <c r="F96" s="40">
        <f>ROUND(0.02*F89,0)</f>
        <v>24547</v>
      </c>
    </row>
    <row r="97" spans="2:6" ht="12.75">
      <c r="B97" s="34" t="s">
        <v>78</v>
      </c>
      <c r="F97" s="41">
        <f>ROUND(0.02*F89,0)</f>
        <v>24547</v>
      </c>
    </row>
    <row r="98" spans="2:6" ht="12.75">
      <c r="B98" s="34"/>
      <c r="C98" t="s">
        <v>79</v>
      </c>
      <c r="F98" s="40">
        <f>SUM(F92:F97)</f>
        <v>822320</v>
      </c>
    </row>
    <row r="99" spans="2:6" ht="13.5" thickBot="1">
      <c r="B99" s="34"/>
      <c r="F99" s="40"/>
    </row>
    <row r="100" spans="2:6" ht="12.75">
      <c r="B100" s="34" t="s">
        <v>80</v>
      </c>
      <c r="F100" s="23"/>
    </row>
    <row r="101" spans="2:6" ht="13.5" thickBot="1">
      <c r="B101" s="34" t="s">
        <v>81</v>
      </c>
      <c r="F101" s="24"/>
    </row>
    <row r="102" spans="2:7" ht="12.75">
      <c r="B102" s="34"/>
      <c r="C102" s="34" t="s">
        <v>82</v>
      </c>
      <c r="F102" s="40">
        <f>PEC+F98+siteprep+buildings</f>
        <v>2852036</v>
      </c>
      <c r="G102" s="34"/>
    </row>
    <row r="103" spans="2:7" ht="12.75">
      <c r="B103" s="34"/>
      <c r="F103" s="40"/>
      <c r="G103" s="34"/>
    </row>
    <row r="104" spans="2:7" ht="12.75">
      <c r="B104" s="36" t="s">
        <v>83</v>
      </c>
      <c r="F104" s="40"/>
      <c r="G104" s="34"/>
    </row>
    <row r="105" spans="2:7" ht="12.75">
      <c r="B105" s="34" t="s">
        <v>84</v>
      </c>
      <c r="F105" s="40">
        <f>ROUND(0.2*F89,0)</f>
        <v>245469</v>
      </c>
      <c r="G105" s="34"/>
    </row>
    <row r="106" spans="2:7" ht="12.75">
      <c r="B106" s="34" t="s">
        <v>85</v>
      </c>
      <c r="F106" s="40">
        <f>ROUND(0.2*F89,0)</f>
        <v>245469</v>
      </c>
      <c r="G106" s="34"/>
    </row>
    <row r="107" spans="2:7" ht="12.75">
      <c r="B107" s="34" t="s">
        <v>86</v>
      </c>
      <c r="F107" s="40">
        <f>ROUND(0.1*F89,0)</f>
        <v>122734</v>
      </c>
      <c r="G107" s="34"/>
    </row>
    <row r="108" spans="2:7" ht="12.75">
      <c r="B108" s="34" t="s">
        <v>87</v>
      </c>
      <c r="F108" s="40">
        <f>ROUND(0.01*F89,0)</f>
        <v>12273</v>
      </c>
      <c r="G108" s="34"/>
    </row>
    <row r="109" spans="2:7" ht="12.75">
      <c r="B109" s="34" t="s">
        <v>88</v>
      </c>
      <c r="F109" s="40">
        <f>ROUND(0.01*F89,0)</f>
        <v>12273</v>
      </c>
      <c r="G109" s="34"/>
    </row>
    <row r="110" spans="2:7" ht="12.75">
      <c r="B110" s="34" t="s">
        <v>89</v>
      </c>
      <c r="F110" s="40">
        <f>ROUND(0.02*F89,0)</f>
        <v>24547</v>
      </c>
      <c r="G110" s="34"/>
    </row>
    <row r="111" spans="2:7" ht="12.75">
      <c r="B111" s="34" t="s">
        <v>90</v>
      </c>
      <c r="F111" s="41">
        <f>ROUND(0.03*F89,0)</f>
        <v>36820</v>
      </c>
      <c r="G111" s="34"/>
    </row>
    <row r="112" spans="2:7" ht="12.75">
      <c r="B112" s="34"/>
      <c r="C112" t="s">
        <v>91</v>
      </c>
      <c r="F112" s="40">
        <f>SUM(F105:F111)</f>
        <v>699585</v>
      </c>
      <c r="G112" s="34"/>
    </row>
    <row r="113" spans="2:7" ht="12.75">
      <c r="B113" s="34"/>
      <c r="F113" s="40"/>
      <c r="G113" s="34"/>
    </row>
    <row r="114" spans="2:7" ht="12.75">
      <c r="B114" s="36" t="s">
        <v>92</v>
      </c>
      <c r="F114" s="40">
        <f>(F102+F112)*G76</f>
        <v>4972269.399999999</v>
      </c>
      <c r="G114" s="34"/>
    </row>
    <row r="115" spans="2:9" ht="12.75">
      <c r="B115" s="36" t="s">
        <v>93</v>
      </c>
      <c r="F115" s="34"/>
      <c r="G115" s="40">
        <f>F114*G68/320</f>
        <v>6126768.201312499</v>
      </c>
      <c r="H115" s="52">
        <f>G115/D45</f>
        <v>28.64046466582133</v>
      </c>
      <c r="I115" t="s">
        <v>129</v>
      </c>
    </row>
    <row r="116" spans="8:9" ht="12.75">
      <c r="H116" s="52">
        <f>G115/H3/1000</f>
        <v>87.52526001874999</v>
      </c>
      <c r="I116" t="s">
        <v>130</v>
      </c>
    </row>
    <row r="117" spans="1:9" ht="15.75">
      <c r="A117" s="42" t="s">
        <v>94</v>
      </c>
      <c r="B117" s="43"/>
      <c r="C117" s="43"/>
      <c r="D117" s="43"/>
      <c r="E117" s="43"/>
      <c r="F117" s="43"/>
      <c r="G117" s="15"/>
      <c r="H117" s="54">
        <f>G115/H3</f>
        <v>87525.26001874999</v>
      </c>
      <c r="I117" t="s">
        <v>131</v>
      </c>
    </row>
    <row r="118" spans="1:6" ht="15.75">
      <c r="A118" s="44"/>
      <c r="B118" s="34"/>
      <c r="C118" s="34"/>
      <c r="D118" s="34"/>
      <c r="E118" s="34"/>
      <c r="F118" s="34"/>
    </row>
    <row r="119" spans="1:6" ht="12.75">
      <c r="A119" s="34"/>
      <c r="B119" s="34" t="s">
        <v>95</v>
      </c>
      <c r="C119" s="34"/>
      <c r="D119" s="34"/>
      <c r="E119" s="34"/>
      <c r="F119" s="34"/>
    </row>
    <row r="120" spans="1:6" ht="12.75">
      <c r="A120" s="34"/>
      <c r="B120" s="34" t="s">
        <v>96</v>
      </c>
      <c r="C120" s="34"/>
      <c r="D120" s="34"/>
      <c r="E120" s="34"/>
      <c r="F120" s="34"/>
    </row>
    <row r="121" spans="1:6" ht="12.75">
      <c r="A121" s="34"/>
      <c r="B121" s="36" t="s">
        <v>97</v>
      </c>
      <c r="C121" s="34"/>
      <c r="D121" s="34"/>
      <c r="E121" s="34"/>
      <c r="F121" s="40">
        <f>IF(signalCE=1,(hours/24)*3*costlabor,(hours/24)*3*12)</f>
        <v>16064.745</v>
      </c>
    </row>
    <row r="122" spans="1:6" ht="12.75">
      <c r="A122" s="34"/>
      <c r="B122" s="34" t="s">
        <v>98</v>
      </c>
      <c r="C122" s="34"/>
      <c r="D122" s="34"/>
      <c r="E122" s="34"/>
      <c r="F122" s="40">
        <f>ROUND(0.15*F121,0)</f>
        <v>2410</v>
      </c>
    </row>
    <row r="123" spans="1:6" ht="12.75">
      <c r="A123" s="34"/>
      <c r="B123" s="34" t="s">
        <v>99</v>
      </c>
      <c r="C123" s="34"/>
      <c r="D123" s="34"/>
      <c r="E123" s="34"/>
      <c r="F123" s="40">
        <f>ROUND(F121/3,0)</f>
        <v>5355</v>
      </c>
    </row>
    <row r="124" spans="1:6" ht="12.75">
      <c r="A124" s="34"/>
      <c r="B124" s="34" t="s">
        <v>100</v>
      </c>
      <c r="C124" s="34"/>
      <c r="D124" s="34"/>
      <c r="E124" s="34"/>
      <c r="F124" s="40"/>
    </row>
    <row r="125" spans="1:6" ht="12.75">
      <c r="A125" s="34"/>
      <c r="B125" s="34"/>
      <c r="C125" s="34"/>
      <c r="D125" s="34"/>
      <c r="E125" s="34"/>
      <c r="F125" s="40"/>
    </row>
    <row r="126" spans="1:6" ht="12.75">
      <c r="A126" s="34"/>
      <c r="B126" s="34" t="s">
        <v>101</v>
      </c>
      <c r="C126" s="34"/>
      <c r="D126" s="34"/>
      <c r="E126" s="34"/>
      <c r="F126" s="40"/>
    </row>
    <row r="127" spans="1:6" ht="12.75">
      <c r="A127" s="34"/>
      <c r="B127" s="36" t="s">
        <v>102</v>
      </c>
      <c r="C127" s="34"/>
      <c r="D127" s="34"/>
      <c r="E127" s="34"/>
      <c r="F127" s="40">
        <f>IF(signalCE=1,IF(D46&gt;50000,ROUND(0.0825*D46*G68/320,0),4125*G68/320),IF(D46&gt;50000,ROUND(0.0825*D46,0),4125))</f>
        <v>5082.7734375</v>
      </c>
    </row>
    <row r="128" spans="1:6" ht="12.75">
      <c r="A128" s="34"/>
      <c r="B128" s="34" t="s">
        <v>103</v>
      </c>
      <c r="C128" s="34"/>
      <c r="D128" s="34"/>
      <c r="E128" s="34"/>
      <c r="F128" s="40">
        <f>ROUND(0.01*F89,0)</f>
        <v>12273</v>
      </c>
    </row>
    <row r="129" spans="1:6" ht="12.75">
      <c r="A129" s="34"/>
      <c r="B129" s="34" t="s">
        <v>104</v>
      </c>
      <c r="C129" s="34"/>
      <c r="D129" s="34"/>
      <c r="E129" s="34"/>
      <c r="F129" s="40"/>
    </row>
    <row r="130" spans="1:8" ht="12.75">
      <c r="A130" s="34"/>
      <c r="B130" s="34" t="s">
        <v>105</v>
      </c>
      <c r="C130" s="34"/>
      <c r="D130" s="34"/>
      <c r="E130" s="34"/>
      <c r="F130" s="40">
        <f>IF(G69=1,ROUND(0.000181*D45*4.48*hours*costpower,0),ROUND(0.000181*D45*4.48*hours*0.06,0))</f>
        <v>77497</v>
      </c>
      <c r="G130" s="11">
        <f>(F130+F132)/0.06/70</f>
        <v>24689.047619047622</v>
      </c>
      <c r="H130" t="s">
        <v>143</v>
      </c>
    </row>
    <row r="131" spans="1:6" ht="12.75">
      <c r="A131" s="34"/>
      <c r="B131" s="36" t="s">
        <v>106</v>
      </c>
      <c r="C131" s="34"/>
      <c r="D131" s="34"/>
      <c r="E131" s="34"/>
      <c r="F131" s="40"/>
    </row>
    <row r="132" spans="1:6" ht="12.75">
      <c r="A132" s="34"/>
      <c r="B132" s="34" t="s">
        <v>107</v>
      </c>
      <c r="C132" s="34"/>
      <c r="D132" s="34"/>
      <c r="E132" s="34"/>
      <c r="F132" s="40">
        <f>IF(G69=1,ROUND(0.00194*D46*hours*costpower,0),ROUND(0.00194*D46*hours*0.06,0))</f>
        <v>26197</v>
      </c>
    </row>
    <row r="133" spans="1:6" ht="13.5" thickBot="1">
      <c r="A133" s="34"/>
      <c r="B133" s="36" t="s">
        <v>108</v>
      </c>
      <c r="C133" s="34"/>
      <c r="D133" s="34"/>
      <c r="E133" s="34"/>
      <c r="F133" s="40"/>
    </row>
    <row r="134" spans="1:8" ht="13.5" thickBot="1">
      <c r="A134" s="34"/>
      <c r="B134" s="34" t="s">
        <v>109</v>
      </c>
      <c r="C134" s="34"/>
      <c r="D134" s="47">
        <v>2</v>
      </c>
      <c r="E134" s="34" t="s">
        <v>110</v>
      </c>
      <c r="F134" s="40">
        <f>IF(G69=1,ROUND(0.00000429*F46*D47*D45*(costtip+0.5*D134),0),ROUND(0.00000429*F46*D47*D45*(20+0.5*D134),0))</f>
        <v>34850</v>
      </c>
      <c r="G134" s="56">
        <f>F46*D47*D45/7000/2000/70</f>
        <v>0.16253554285714286</v>
      </c>
      <c r="H134" t="s">
        <v>142</v>
      </c>
    </row>
    <row r="135" spans="1:6" ht="12.75">
      <c r="A135" s="34"/>
      <c r="B135" s="34"/>
      <c r="C135" s="36" t="s">
        <v>111</v>
      </c>
      <c r="D135" s="34"/>
      <c r="E135" s="34"/>
      <c r="F135" s="41"/>
    </row>
    <row r="136" spans="1:6" ht="12.75">
      <c r="A136" s="34"/>
      <c r="B136" s="34"/>
      <c r="C136" s="36" t="s">
        <v>112</v>
      </c>
      <c r="D136" s="34" t="str">
        <f>IF(signalCE=1,"your year dollars","base year dollars")</f>
        <v>your year dollars</v>
      </c>
      <c r="E136" s="34"/>
      <c r="F136" s="40">
        <f>SUM(F121:F134)</f>
        <v>179729.5184375</v>
      </c>
    </row>
    <row r="137" spans="1:6" ht="12.75">
      <c r="A137" s="34"/>
      <c r="B137" s="34" t="s">
        <v>113</v>
      </c>
      <c r="C137" s="34"/>
      <c r="D137" s="34"/>
      <c r="E137" s="34"/>
      <c r="F137" s="40"/>
    </row>
    <row r="138" spans="1:6" ht="12.75">
      <c r="A138" s="34"/>
      <c r="B138" s="34" t="s">
        <v>114</v>
      </c>
      <c r="C138" s="34"/>
      <c r="D138" s="34"/>
      <c r="E138" s="34"/>
      <c r="F138" s="40">
        <f>IF(signalCE=1,ROUND(0.6*G68/320*(SUM(F121:F128)),0),ROUND(0.6*(SUM(F121:F128)),0))</f>
        <v>30449</v>
      </c>
    </row>
    <row r="139" spans="1:6" ht="12.75">
      <c r="A139" s="34"/>
      <c r="B139" s="34" t="s">
        <v>115</v>
      </c>
      <c r="C139" s="34"/>
      <c r="D139" s="34"/>
      <c r="E139" s="34"/>
      <c r="F139" s="40">
        <f>IF(signalCE=1,ROUND(0.02*G115,0),ROUND(0.02*TCI,0))</f>
        <v>122535</v>
      </c>
    </row>
    <row r="140" spans="1:6" ht="12.75">
      <c r="A140" s="34"/>
      <c r="B140" s="34" t="s">
        <v>116</v>
      </c>
      <c r="C140" s="34"/>
      <c r="D140" s="34"/>
      <c r="E140" s="34"/>
      <c r="F140" s="40">
        <f>IF(signalCE=1,ROUND(0.01*G115,0),ROUND(0.01*TCI,0))</f>
        <v>61268</v>
      </c>
    </row>
    <row r="141" spans="1:6" ht="12.75">
      <c r="A141" s="34"/>
      <c r="B141" s="34" t="s">
        <v>117</v>
      </c>
      <c r="C141" s="34"/>
      <c r="D141" s="34"/>
      <c r="E141" s="34"/>
      <c r="F141" s="40">
        <f>IF(signalCE=1,ROUND(0.01*G115,0),ROUND(0.01*TCI,0))</f>
        <v>61268</v>
      </c>
    </row>
    <row r="142" spans="1:6" ht="12.75">
      <c r="A142" s="34"/>
      <c r="B142" s="36" t="s">
        <v>118</v>
      </c>
      <c r="C142" s="34"/>
      <c r="D142" s="34"/>
      <c r="E142" s="34"/>
      <c r="F142" s="40">
        <f>IF(signalCE=1,ROUND(G73*(1+G73)^G74/((1+G73)^G74-1)*G115,0),ROUND(0.1175*F114,0))</f>
        <v>578324</v>
      </c>
    </row>
    <row r="143" spans="1:6" ht="12.75">
      <c r="A143" s="34"/>
      <c r="B143" s="34"/>
      <c r="C143" s="34"/>
      <c r="D143" s="34"/>
      <c r="E143" s="34"/>
      <c r="F143" s="41"/>
    </row>
    <row r="144" spans="1:6" ht="12.75">
      <c r="A144" s="34"/>
      <c r="B144" s="34"/>
      <c r="C144" s="36" t="s">
        <v>119</v>
      </c>
      <c r="D144" s="34" t="str">
        <f>IF(signalCE=1,"your year dollars","base year dollars")</f>
        <v>your year dollars</v>
      </c>
      <c r="E144" s="34"/>
      <c r="F144" s="40">
        <f>SUM(F138:F142)</f>
        <v>853844</v>
      </c>
    </row>
    <row r="145" spans="1:6" ht="12.75">
      <c r="A145" s="34"/>
      <c r="B145" s="34"/>
      <c r="C145" s="34"/>
      <c r="D145" s="34"/>
      <c r="E145" s="34"/>
      <c r="F145" s="40"/>
    </row>
    <row r="146" spans="1:9" ht="12.75">
      <c r="A146" s="45"/>
      <c r="B146" s="46" t="s">
        <v>120</v>
      </c>
      <c r="C146" s="45"/>
      <c r="D146" s="34" t="str">
        <f>IF(signalCE=1,"your year dollars","base year dollars")</f>
        <v>your year dollars</v>
      </c>
      <c r="E146" s="34"/>
      <c r="F146" s="40">
        <f>F136+F144</f>
        <v>1033573.5184375</v>
      </c>
      <c r="H146" s="53">
        <f>F146/flue</f>
        <v>2.254741532368019</v>
      </c>
      <c r="I146" t="s">
        <v>129</v>
      </c>
    </row>
    <row r="147" spans="1:9" ht="12.75">
      <c r="A147" s="46"/>
      <c r="B147" s="45"/>
      <c r="C147" s="45"/>
      <c r="D147" s="45"/>
      <c r="E147" s="34"/>
      <c r="F147" s="34"/>
      <c r="H147" s="53">
        <f>F146/H3/1000</f>
        <v>14.765335977678571</v>
      </c>
      <c r="I147" t="s">
        <v>130</v>
      </c>
    </row>
    <row r="148" spans="8:9" ht="12.75">
      <c r="H148" s="55">
        <f>F146/H3</f>
        <v>14765.335977678571</v>
      </c>
      <c r="I148" t="s">
        <v>131</v>
      </c>
    </row>
    <row r="153" ht="12.75">
      <c r="G153" s="9"/>
    </row>
    <row r="164" spans="1:7" ht="12.75">
      <c r="A164">
        <v>0.5</v>
      </c>
      <c r="B164">
        <v>0.75</v>
      </c>
      <c r="C164">
        <v>0.9</v>
      </c>
      <c r="D164">
        <v>0.95</v>
      </c>
      <c r="E164">
        <v>0.99</v>
      </c>
      <c r="F164">
        <v>0.995</v>
      </c>
      <c r="G164">
        <v>0.999</v>
      </c>
    </row>
    <row r="165" spans="1:7" ht="12.75">
      <c r="A165" s="7">
        <v>308802</v>
      </c>
      <c r="B165" s="7">
        <v>378309</v>
      </c>
      <c r="C165" s="7">
        <v>416839</v>
      </c>
      <c r="D165" s="7">
        <v>517794</v>
      </c>
      <c r="E165" s="7">
        <v>673798</v>
      </c>
      <c r="F165" s="7">
        <v>589425</v>
      </c>
      <c r="G165" s="7">
        <v>680192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2.28125" style="0" customWidth="1"/>
    <col min="4" max="4" width="11.140625" style="0" customWidth="1"/>
    <col min="5" max="5" width="10.421875" style="0" customWidth="1"/>
    <col min="6" max="6" width="11.421875" style="0" customWidth="1"/>
    <col min="7" max="7" width="12.00390625" style="0" customWidth="1"/>
    <col min="8" max="8" width="10.8515625" style="0" customWidth="1"/>
  </cols>
  <sheetData>
    <row r="1" ht="19.5">
      <c r="D1" s="1" t="s">
        <v>0</v>
      </c>
    </row>
    <row r="2" ht="13.5" thickBot="1"/>
    <row r="3" spans="1:8" ht="13.5" thickBot="1">
      <c r="A3" s="2" t="s">
        <v>1</v>
      </c>
      <c r="B3" s="25" t="s">
        <v>154</v>
      </c>
      <c r="C3" s="16"/>
      <c r="D3" s="16"/>
      <c r="E3" s="16"/>
      <c r="F3" s="16"/>
      <c r="G3" s="17"/>
      <c r="H3">
        <v>50</v>
      </c>
    </row>
    <row r="5" ht="12.75">
      <c r="B5" s="18" t="s">
        <v>2</v>
      </c>
    </row>
    <row r="7" spans="1:4" ht="12.75">
      <c r="A7" s="2" t="s">
        <v>3</v>
      </c>
      <c r="D7" s="2" t="str">
        <f>IF(T=2,"Flat Plate Design","Plate-Wire Design")</f>
        <v>Flat Plate Design</v>
      </c>
    </row>
    <row r="8" spans="2:6" ht="13.5" thickBot="1">
      <c r="B8" s="5" t="s">
        <v>4</v>
      </c>
      <c r="C8" s="5"/>
      <c r="D8" s="5"/>
      <c r="E8" s="12">
        <v>2</v>
      </c>
      <c r="F8" t="s">
        <v>5</v>
      </c>
    </row>
    <row r="9" spans="2:8" ht="13.5" thickBot="1">
      <c r="B9" s="5" t="s">
        <v>6</v>
      </c>
      <c r="C9" s="5"/>
      <c r="D9" s="5"/>
      <c r="E9" s="19">
        <v>0.8</v>
      </c>
      <c r="F9" s="2"/>
      <c r="G9" s="2"/>
      <c r="H9" s="2"/>
    </row>
    <row r="10" spans="2:5" ht="13.5" thickBot="1">
      <c r="B10" s="5" t="s">
        <v>7</v>
      </c>
      <c r="C10" s="5"/>
      <c r="D10" s="5"/>
      <c r="E10" s="10">
        <f>(1-E)</f>
        <v>0.19999999999999996</v>
      </c>
    </row>
    <row r="11" spans="2:8" ht="12.75">
      <c r="B11" s="5" t="s">
        <v>8</v>
      </c>
      <c r="C11" s="5"/>
      <c r="D11" s="5"/>
      <c r="E11" s="20">
        <v>413</v>
      </c>
      <c r="F11" s="9"/>
      <c r="G11" s="9"/>
      <c r="H11" s="9"/>
    </row>
    <row r="12" spans="2:8" ht="12.75">
      <c r="B12" s="5" t="s">
        <v>9</v>
      </c>
      <c r="C12" s="5"/>
      <c r="D12" s="5"/>
      <c r="E12" s="21">
        <v>2000000000</v>
      </c>
      <c r="G12" s="8"/>
      <c r="H12" s="2"/>
    </row>
    <row r="13" spans="2:8" ht="13.5" thickBot="1">
      <c r="B13" s="5" t="s">
        <v>10</v>
      </c>
      <c r="C13" s="5"/>
      <c r="D13" s="5"/>
      <c r="E13" s="26">
        <v>3.5</v>
      </c>
      <c r="F13" s="2"/>
      <c r="G13" s="2"/>
      <c r="H13" s="2"/>
    </row>
    <row r="14" spans="2:8" ht="13.5" thickBot="1">
      <c r="B14" s="5" t="s">
        <v>11</v>
      </c>
      <c r="C14" s="5"/>
      <c r="D14" s="5"/>
      <c r="E14" s="5">
        <f>+IF(T=1,0.07,0.1)</f>
        <v>0.1</v>
      </c>
      <c r="F14" s="2"/>
      <c r="G14" s="2"/>
      <c r="H14" s="2"/>
    </row>
    <row r="15" spans="2:8" ht="12.75">
      <c r="B15" s="5" t="s">
        <v>12</v>
      </c>
      <c r="C15" s="5"/>
      <c r="D15" s="5"/>
      <c r="E15" s="20">
        <v>0.124</v>
      </c>
      <c r="F15" s="2"/>
      <c r="G15" s="2"/>
      <c r="H15" s="2"/>
    </row>
    <row r="16" spans="2:8" ht="13.5" thickBot="1">
      <c r="B16" s="5" t="s">
        <v>13</v>
      </c>
      <c r="C16" s="5"/>
      <c r="D16" s="5"/>
      <c r="E16" s="26">
        <v>2</v>
      </c>
      <c r="F16" s="2"/>
      <c r="G16" s="2"/>
      <c r="H16" s="2"/>
    </row>
    <row r="17" spans="2:8" ht="12.75">
      <c r="B17" s="5" t="s">
        <v>14</v>
      </c>
      <c r="C17" s="5"/>
      <c r="D17" s="5"/>
      <c r="E17" s="27">
        <f>IF(MMDi&lt;5,3,5)</f>
        <v>3</v>
      </c>
      <c r="F17" s="2"/>
      <c r="G17" s="2"/>
      <c r="H17" s="2"/>
    </row>
    <row r="18" spans="2:8" ht="12.75">
      <c r="B18" s="5" t="s">
        <v>15</v>
      </c>
      <c r="C18" s="5"/>
      <c r="D18" s="5"/>
      <c r="E18" s="27">
        <f>+Sn+RR*(1-Sn)</f>
        <v>0.2116</v>
      </c>
      <c r="F18" s="2"/>
      <c r="G18" s="2"/>
      <c r="H18" s="2"/>
    </row>
    <row r="19" spans="2:8" ht="12.75">
      <c r="B19" s="5" t="s">
        <v>16</v>
      </c>
      <c r="C19" s="5"/>
      <c r="D19" s="5"/>
      <c r="E19" s="28">
        <f>630000*(273/Tk)^1.65</f>
        <v>318193.5206075361</v>
      </c>
      <c r="F19" s="5" t="s">
        <v>17</v>
      </c>
      <c r="G19" s="2"/>
      <c r="H19" s="2"/>
    </row>
    <row r="20" spans="2:8" ht="12.75">
      <c r="B20" s="5" t="s">
        <v>18</v>
      </c>
      <c r="C20" s="5"/>
      <c r="D20" s="5"/>
      <c r="E20" s="27">
        <f>0.0000172*(Tk/273)^0.71</f>
        <v>2.30769019164502E-05</v>
      </c>
      <c r="F20" s="5" t="s">
        <v>19</v>
      </c>
      <c r="G20" s="2"/>
      <c r="H20" s="2"/>
    </row>
    <row r="21" spans="2:8" ht="12.75">
      <c r="B21" s="5" t="s">
        <v>20</v>
      </c>
      <c r="C21" s="5"/>
      <c r="D21" s="5"/>
      <c r="E21" s="29">
        <v>8.845E-12</v>
      </c>
      <c r="F21" s="5" t="s">
        <v>21</v>
      </c>
      <c r="G21" s="2"/>
      <c r="H21" s="2"/>
    </row>
    <row r="22" spans="2:8" ht="12.75">
      <c r="B22" s="5" t="s">
        <v>22</v>
      </c>
      <c r="C22" s="5"/>
      <c r="D22" s="5"/>
      <c r="E22" s="28">
        <f>IF(Res&gt;200000000000,IF(T=1,0.7*Ebd/1.75,0.7*Ebd*5/6.3),IF(T=1,Ebd/1.75,Ebd*5/6.3))</f>
        <v>252534.5401647112</v>
      </c>
      <c r="F22" s="2"/>
      <c r="G22" s="2"/>
      <c r="H22" s="2"/>
    </row>
    <row r="23" spans="2:8" ht="12.75">
      <c r="B23" s="5" t="s">
        <v>23</v>
      </c>
      <c r="C23" s="5"/>
      <c r="D23" s="5"/>
      <c r="E23" s="27">
        <f>IF(LF&lt;p,1,IF(LF^2&lt;p,2,IF(LF^3&lt;p,3,IF(LF^4&lt;p,4,IF(LF^5&lt;p,5,IF(LF^6&lt;p,6,IF(LF^7&lt;p,7,0)))))))</f>
        <v>2</v>
      </c>
      <c r="F23" s="2"/>
      <c r="G23" s="2"/>
      <c r="H23" s="2"/>
    </row>
    <row r="24" spans="2:8" ht="12.75">
      <c r="B24" s="5" t="s">
        <v>24</v>
      </c>
      <c r="C24" s="5"/>
      <c r="D24" s="5"/>
      <c r="E24" s="30">
        <f>p^(1/No.)</f>
        <v>0.44721359549995787</v>
      </c>
      <c r="F24" s="2"/>
      <c r="G24" s="2"/>
      <c r="H24" s="2"/>
    </row>
    <row r="25" spans="2:8" ht="12.75">
      <c r="B25" s="5" t="s">
        <v>25</v>
      </c>
      <c r="C25" s="5"/>
      <c r="D25" s="5"/>
      <c r="E25" s="30">
        <f>IF((Ps-LF)/(1-LF)&gt;0,(Ps-LF)/(1-LF),0)</f>
        <v>0.2988503240740206</v>
      </c>
      <c r="F25" s="2"/>
      <c r="G25" s="2"/>
      <c r="H25" s="2"/>
    </row>
    <row r="26" spans="2:8" ht="12.75">
      <c r="B26" s="5" t="s">
        <v>26</v>
      </c>
      <c r="C26" s="5"/>
      <c r="D26" s="5"/>
      <c r="E26" s="30">
        <f>Sn+Pc*(1-Sn)+RR*(1-Sn)*(1-Pc)</f>
        <v>0.4472135954999579</v>
      </c>
      <c r="F26" s="2"/>
      <c r="G26" s="2"/>
      <c r="H26" s="2"/>
    </row>
    <row r="27" spans="2:8" ht="12.75">
      <c r="B27" s="5" t="s">
        <v>27</v>
      </c>
      <c r="C27" s="5"/>
      <c r="D27" s="5"/>
      <c r="E27" s="30">
        <f>RR*(1-Sn)*(1-Pc)*MMDr/D</f>
        <v>0.5249055794862122</v>
      </c>
      <c r="F27" s="2"/>
      <c r="G27" s="2"/>
      <c r="H27" s="2"/>
    </row>
    <row r="28" spans="2:8" ht="12.75">
      <c r="B28" s="5" t="s">
        <v>28</v>
      </c>
      <c r="C28" s="5"/>
      <c r="D28" s="5">
        <v>1</v>
      </c>
      <c r="E28" s="27">
        <f>MMDi</f>
        <v>3.5</v>
      </c>
      <c r="F28" s="2"/>
      <c r="G28" s="2"/>
      <c r="H28" s="2"/>
    </row>
    <row r="29" spans="2:8" ht="12.75">
      <c r="B29" s="2"/>
      <c r="C29" s="2"/>
      <c r="D29" s="5">
        <v>2</v>
      </c>
      <c r="E29" s="31">
        <f aca="true" t="shared" si="0" ref="E29:E34">IF(No.&lt;D29,0,(E28*Sn+((1-Pc)*MMDp+Pc*E28)*Pc)/D+MMDrp)</f>
        <v>2.9435885831581428</v>
      </c>
      <c r="F29" s="2"/>
      <c r="G29" s="2"/>
      <c r="H29" s="2"/>
    </row>
    <row r="30" spans="2:8" ht="12.75">
      <c r="B30" s="2"/>
      <c r="C30" s="2"/>
      <c r="D30" s="5">
        <v>3</v>
      </c>
      <c r="E30" s="31">
        <f t="shared" si="0"/>
        <v>0</v>
      </c>
      <c r="F30" s="2"/>
      <c r="G30" s="2"/>
      <c r="H30" s="2"/>
    </row>
    <row r="31" spans="2:8" ht="12.75">
      <c r="B31" s="2"/>
      <c r="C31" s="2"/>
      <c r="D31" s="5">
        <v>4</v>
      </c>
      <c r="E31" s="31">
        <f t="shared" si="0"/>
        <v>0</v>
      </c>
      <c r="F31" s="2"/>
      <c r="G31" s="2"/>
      <c r="H31" s="2"/>
    </row>
    <row r="32" spans="2:8" ht="12.75">
      <c r="B32" s="2"/>
      <c r="C32" s="2"/>
      <c r="D32" s="5">
        <v>5</v>
      </c>
      <c r="E32" s="31">
        <f t="shared" si="0"/>
        <v>0</v>
      </c>
      <c r="F32" s="2"/>
      <c r="G32" s="2"/>
      <c r="H32" s="2"/>
    </row>
    <row r="33" spans="2:8" ht="12.75">
      <c r="B33" s="2"/>
      <c r="C33" s="2"/>
      <c r="D33" s="5">
        <v>6</v>
      </c>
      <c r="E33" s="31">
        <f t="shared" si="0"/>
        <v>0</v>
      </c>
      <c r="F33" s="2"/>
      <c r="G33" s="2"/>
      <c r="H33" s="2"/>
    </row>
    <row r="34" spans="2:8" ht="12.75">
      <c r="B34" s="2"/>
      <c r="C34" s="2"/>
      <c r="D34" s="5">
        <v>7</v>
      </c>
      <c r="E34" s="31">
        <f t="shared" si="0"/>
        <v>0</v>
      </c>
      <c r="F34" s="2"/>
      <c r="G34" s="2"/>
      <c r="H34" s="2"/>
    </row>
    <row r="35" spans="2:8" ht="12.75">
      <c r="B35" t="s">
        <v>29</v>
      </c>
      <c r="C35" s="2"/>
      <c r="D35" s="5">
        <v>1</v>
      </c>
      <c r="E35" s="32">
        <f aca="true" t="shared" si="1" ref="E35:E41">IF(No.&lt;D35,0,-(n/e0)*(1-Sn)*LN(Pc)/(Eavg^2*E28*0.000001))</f>
        <v>12.706093577977311</v>
      </c>
      <c r="F35" s="2"/>
      <c r="G35" s="2"/>
      <c r="H35" s="2"/>
    </row>
    <row r="36" spans="2:5" ht="12.75">
      <c r="B36" s="3"/>
      <c r="D36">
        <v>2</v>
      </c>
      <c r="E36" s="32">
        <f t="shared" si="1"/>
        <v>15.10786112480699</v>
      </c>
    </row>
    <row r="37" spans="4:6" ht="12.75">
      <c r="D37">
        <v>3</v>
      </c>
      <c r="E37" s="32">
        <f t="shared" si="1"/>
        <v>0</v>
      </c>
      <c r="F37" s="13"/>
    </row>
    <row r="38" spans="4:6" ht="12.75">
      <c r="D38">
        <v>4</v>
      </c>
      <c r="E38" s="32">
        <f t="shared" si="1"/>
        <v>0</v>
      </c>
      <c r="F38" s="13"/>
    </row>
    <row r="39" spans="4:6" ht="12.75">
      <c r="D39">
        <v>5</v>
      </c>
      <c r="E39" s="32">
        <f t="shared" si="1"/>
        <v>0</v>
      </c>
      <c r="F39" s="14"/>
    </row>
    <row r="40" spans="4:6" ht="12.75">
      <c r="D40">
        <v>6</v>
      </c>
      <c r="E40" s="32">
        <f t="shared" si="1"/>
        <v>0</v>
      </c>
      <c r="F40" s="14"/>
    </row>
    <row r="41" spans="4:6" ht="12.75">
      <c r="D41">
        <v>7</v>
      </c>
      <c r="E41" s="32">
        <f t="shared" si="1"/>
        <v>0</v>
      </c>
      <c r="F41" s="4"/>
    </row>
    <row r="42" spans="2:5" ht="12.75">
      <c r="B42" t="s">
        <v>30</v>
      </c>
      <c r="E42" s="14">
        <f>SUM(E35:E41)</f>
        <v>27.8139547027843</v>
      </c>
    </row>
    <row r="43" spans="2:5" ht="12.75">
      <c r="B43" t="s">
        <v>31</v>
      </c>
      <c r="E43" s="14">
        <f>+E42*5.08</f>
        <v>141.29488989014425</v>
      </c>
    </row>
    <row r="44" ht="13.5" thickBot="1"/>
    <row r="45" spans="1:9" ht="13.5" thickBot="1">
      <c r="A45" t="s">
        <v>32</v>
      </c>
      <c r="D45" s="22">
        <v>152800</v>
      </c>
      <c r="E45" s="34" t="s">
        <v>33</v>
      </c>
      <c r="F45" s="34" t="s">
        <v>34</v>
      </c>
      <c r="G45" s="34"/>
      <c r="I45" t="s">
        <v>35</v>
      </c>
    </row>
    <row r="46" spans="1:7" ht="13.5" thickBot="1">
      <c r="A46" t="s">
        <v>36</v>
      </c>
      <c r="D46" s="11">
        <f>+D45/1000*E43</f>
        <v>21589.859175214042</v>
      </c>
      <c r="E46" s="34" t="s">
        <v>37</v>
      </c>
      <c r="F46" s="51">
        <v>0.1</v>
      </c>
      <c r="G46" s="34" t="s">
        <v>38</v>
      </c>
    </row>
    <row r="47" spans="1:4" ht="13.5" thickBot="1">
      <c r="A47" t="s">
        <v>39</v>
      </c>
      <c r="D47" s="33">
        <v>7446</v>
      </c>
    </row>
    <row r="48" spans="1:7" ht="12.75">
      <c r="A48" s="35" t="s">
        <v>40</v>
      </c>
      <c r="B48" s="34"/>
      <c r="C48" s="34"/>
      <c r="D48" s="34"/>
      <c r="E48" s="34"/>
      <c r="F48" s="34"/>
      <c r="G48" s="34"/>
    </row>
    <row r="49" spans="1:7" ht="12.75">
      <c r="A49" s="34"/>
      <c r="B49" s="34" t="s">
        <v>41</v>
      </c>
      <c r="C49" s="34"/>
      <c r="D49" s="34"/>
      <c r="E49" s="34"/>
      <c r="F49" s="34"/>
      <c r="G49" s="34"/>
    </row>
    <row r="50" spans="1:7" ht="12.75">
      <c r="A50" s="35"/>
      <c r="B50" s="34" t="s">
        <v>42</v>
      </c>
      <c r="C50" s="34"/>
      <c r="D50" s="34"/>
      <c r="E50" s="34"/>
      <c r="F50" s="34"/>
      <c r="G50" s="34"/>
    </row>
    <row r="51" spans="1:7" ht="12.75">
      <c r="A51" s="35"/>
      <c r="B51" s="34" t="s">
        <v>43</v>
      </c>
      <c r="C51" s="34"/>
      <c r="D51" s="34"/>
      <c r="E51" s="34"/>
      <c r="F51" s="34"/>
      <c r="G51" s="34"/>
    </row>
    <row r="52" spans="1:7" ht="12.75">
      <c r="A52" s="35"/>
      <c r="B52" s="34" t="s">
        <v>44</v>
      </c>
      <c r="C52" s="34"/>
      <c r="D52" s="34"/>
      <c r="E52" s="34"/>
      <c r="F52" s="34"/>
      <c r="G52" s="34"/>
    </row>
    <row r="53" spans="1:7" ht="12.75">
      <c r="A53" s="34"/>
      <c r="B53" s="34" t="s">
        <v>45</v>
      </c>
      <c r="C53" s="34"/>
      <c r="D53" s="34"/>
      <c r="E53" s="34"/>
      <c r="F53" s="34"/>
      <c r="G53" s="34"/>
    </row>
    <row r="54" spans="1:7" ht="12.75">
      <c r="A54" s="34"/>
      <c r="B54" s="34" t="s">
        <v>46</v>
      </c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6" t="s">
        <v>47</v>
      </c>
      <c r="C56" s="34"/>
      <c r="D56" s="34"/>
      <c r="E56" s="34"/>
      <c r="F56" s="34"/>
      <c r="G56" s="34"/>
    </row>
    <row r="57" spans="1:7" ht="12.75">
      <c r="A57" s="34"/>
      <c r="B57" s="36" t="s">
        <v>48</v>
      </c>
      <c r="C57" s="34"/>
      <c r="D57" s="34"/>
      <c r="E57" s="34"/>
      <c r="F57" s="34"/>
      <c r="G57" s="34"/>
    </row>
    <row r="58" spans="1:7" ht="12.75">
      <c r="A58" s="34"/>
      <c r="B58" s="36" t="s">
        <v>49</v>
      </c>
      <c r="C58" s="34"/>
      <c r="D58" s="34"/>
      <c r="E58" s="34"/>
      <c r="F58" s="34"/>
      <c r="G58" s="34"/>
    </row>
    <row r="59" spans="1:7" ht="12.75">
      <c r="A59" s="34"/>
      <c r="B59" s="37" t="s">
        <v>50</v>
      </c>
      <c r="C59" s="34"/>
      <c r="D59" s="34"/>
      <c r="E59" s="34"/>
      <c r="F59" s="34"/>
      <c r="G59" s="34"/>
    </row>
    <row r="60" spans="1:7" ht="12.75">
      <c r="A60" s="34"/>
      <c r="B60" s="37" t="s">
        <v>51</v>
      </c>
      <c r="C60" s="34"/>
      <c r="D60" s="34"/>
      <c r="E60" s="34"/>
      <c r="F60" s="34"/>
      <c r="G60" s="34"/>
    </row>
    <row r="61" spans="1:7" ht="12.75">
      <c r="A61" s="34"/>
      <c r="B61" s="37"/>
      <c r="C61" s="34"/>
      <c r="D61" s="34"/>
      <c r="E61" s="34"/>
      <c r="F61" s="34"/>
      <c r="G61" s="34"/>
    </row>
    <row r="62" spans="1:7" ht="12.75">
      <c r="A62" s="34"/>
      <c r="B62" s="36" t="s">
        <v>52</v>
      </c>
      <c r="C62" s="34"/>
      <c r="D62" s="34"/>
      <c r="E62" s="34"/>
      <c r="F62" s="34"/>
      <c r="G62" s="34"/>
    </row>
    <row r="63" spans="1:7" ht="12.75">
      <c r="A63" s="34"/>
      <c r="B63" s="36" t="s">
        <v>53</v>
      </c>
      <c r="C63" s="34"/>
      <c r="D63" s="34"/>
      <c r="E63" s="34"/>
      <c r="F63" s="34"/>
      <c r="G63" s="34"/>
    </row>
    <row r="64" spans="1:7" ht="12.75">
      <c r="A64" s="34"/>
      <c r="B64" s="37"/>
      <c r="C64" s="34"/>
      <c r="D64" s="34"/>
      <c r="E64" s="34"/>
      <c r="F64" s="34"/>
      <c r="G64" s="34"/>
    </row>
    <row r="65" spans="1:7" ht="12.75">
      <c r="A65" s="34"/>
      <c r="B65" s="36" t="s">
        <v>54</v>
      </c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3.5" thickBot="1">
      <c r="A67" s="34"/>
      <c r="B67" s="36" t="s">
        <v>55</v>
      </c>
      <c r="C67" s="34"/>
      <c r="D67" s="34"/>
      <c r="E67" s="34"/>
      <c r="F67" s="34"/>
      <c r="G67" s="34"/>
    </row>
    <row r="68" spans="2:7" ht="12.75">
      <c r="B68" s="36" t="s">
        <v>56</v>
      </c>
      <c r="G68" s="38">
        <v>394.3</v>
      </c>
    </row>
    <row r="69" spans="2:7" ht="12.75">
      <c r="B69" s="34" t="s">
        <v>57</v>
      </c>
      <c r="G69" s="39">
        <v>1</v>
      </c>
    </row>
    <row r="70" spans="2:7" ht="12.75">
      <c r="B70" s="36" t="s">
        <v>58</v>
      </c>
      <c r="G70" s="39">
        <v>17.26</v>
      </c>
    </row>
    <row r="71" spans="2:7" ht="12.75">
      <c r="B71" s="36" t="s">
        <v>59</v>
      </c>
      <c r="G71" s="39">
        <v>0.06</v>
      </c>
    </row>
    <row r="72" spans="2:7" ht="12.75">
      <c r="B72" s="37" t="s">
        <v>60</v>
      </c>
      <c r="G72" s="39">
        <v>50</v>
      </c>
    </row>
    <row r="73" spans="2:7" ht="12.75">
      <c r="B73" s="37" t="s">
        <v>61</v>
      </c>
      <c r="G73" s="39">
        <v>0.07</v>
      </c>
    </row>
    <row r="74" spans="2:7" ht="12.75">
      <c r="B74" s="37" t="s">
        <v>62</v>
      </c>
      <c r="G74" s="39">
        <v>20</v>
      </c>
    </row>
    <row r="75" spans="2:7" ht="12.75">
      <c r="B75" s="48" t="s">
        <v>63</v>
      </c>
      <c r="G75" s="50">
        <v>0</v>
      </c>
    </row>
    <row r="76" spans="2:7" ht="13.5" thickBot="1">
      <c r="B76" s="48" t="s">
        <v>64</v>
      </c>
      <c r="G76" s="49">
        <v>1.4</v>
      </c>
    </row>
    <row r="77" ht="12.75">
      <c r="B77" s="18"/>
    </row>
    <row r="79" ht="15.75">
      <c r="C79" s="6" t="s">
        <v>65</v>
      </c>
    </row>
    <row r="81" ht="12.75">
      <c r="B81" s="36" t="s">
        <v>66</v>
      </c>
    </row>
    <row r="82" ht="12.75">
      <c r="B82" s="34" t="s">
        <v>67</v>
      </c>
    </row>
    <row r="83" spans="2:6" ht="12.75">
      <c r="B83" s="34" t="s">
        <v>122</v>
      </c>
      <c r="F83" s="40">
        <f>F85+F84</f>
        <v>842121</v>
      </c>
    </row>
    <row r="84" spans="2:6" ht="12.75">
      <c r="B84" s="34" t="s">
        <v>121</v>
      </c>
      <c r="F84" s="40">
        <f>F85*0.8</f>
        <v>374276</v>
      </c>
    </row>
    <row r="85" spans="2:9" ht="15.75">
      <c r="B85" s="34" t="s">
        <v>146</v>
      </c>
      <c r="F85" s="40">
        <f>ROUND(IF(D46&gt;50000,83.91*D46^0.8431,891.1*D46^0.6276),0)</f>
        <v>467845</v>
      </c>
      <c r="H85" s="53">
        <f>F85/D46</f>
        <v>21.66966427169212</v>
      </c>
      <c r="I85" t="s">
        <v>147</v>
      </c>
    </row>
    <row r="86" spans="2:9" ht="12.75">
      <c r="B86" s="34" t="s">
        <v>68</v>
      </c>
      <c r="F86" s="40">
        <f>ROUND(0.1*F83,0)</f>
        <v>84212</v>
      </c>
      <c r="H86" s="53">
        <f>F85/H3/1000</f>
        <v>9.3569</v>
      </c>
      <c r="I86" t="s">
        <v>148</v>
      </c>
    </row>
    <row r="87" spans="2:6" ht="12.75">
      <c r="B87" s="34" t="s">
        <v>69</v>
      </c>
      <c r="F87" s="40">
        <f>ROUND(0.03*F83,0)</f>
        <v>25264</v>
      </c>
    </row>
    <row r="88" spans="2:6" ht="12.75">
      <c r="B88" s="34" t="s">
        <v>70</v>
      </c>
      <c r="F88" s="41">
        <f>ROUND(0.05*F83,0)</f>
        <v>42106</v>
      </c>
    </row>
    <row r="89" spans="2:6" ht="12.75">
      <c r="B89" s="34"/>
      <c r="C89" t="s">
        <v>71</v>
      </c>
      <c r="F89" s="40">
        <f>SUM(F84:F88)</f>
        <v>993703</v>
      </c>
    </row>
    <row r="90" spans="2:6" ht="12.75">
      <c r="B90" s="34"/>
      <c r="F90" s="40"/>
    </row>
    <row r="91" spans="2:6" ht="12.75">
      <c r="B91" s="36" t="s">
        <v>72</v>
      </c>
      <c r="F91" s="40"/>
    </row>
    <row r="92" spans="2:6" ht="12.75">
      <c r="B92" s="34" t="s">
        <v>73</v>
      </c>
      <c r="F92" s="40">
        <f>ROUND(0.04*F89,0)</f>
        <v>39748</v>
      </c>
    </row>
    <row r="93" spans="2:6" ht="12.75">
      <c r="B93" s="34" t="s">
        <v>74</v>
      </c>
      <c r="F93" s="40">
        <f>ROUND(0.5*F89,0)</f>
        <v>496852</v>
      </c>
    </row>
    <row r="94" spans="2:6" ht="12.75">
      <c r="B94" s="34" t="s">
        <v>75</v>
      </c>
      <c r="F94" s="40">
        <f>ROUND(0.08*F89,0)</f>
        <v>79496</v>
      </c>
    </row>
    <row r="95" spans="2:6" ht="12.75">
      <c r="B95" s="34" t="s">
        <v>76</v>
      </c>
      <c r="F95" s="40">
        <f>ROUND(0.01*F89,0)</f>
        <v>9937</v>
      </c>
    </row>
    <row r="96" spans="2:6" ht="12.75">
      <c r="B96" s="34" t="s">
        <v>77</v>
      </c>
      <c r="F96" s="40">
        <f>ROUND(0.02*F89,0)</f>
        <v>19874</v>
      </c>
    </row>
    <row r="97" spans="2:6" ht="12.75">
      <c r="B97" s="34" t="s">
        <v>78</v>
      </c>
      <c r="F97" s="41">
        <f>ROUND(0.02*F89,0)</f>
        <v>19874</v>
      </c>
    </row>
    <row r="98" spans="2:6" ht="12.75">
      <c r="B98" s="34"/>
      <c r="C98" t="s">
        <v>79</v>
      </c>
      <c r="F98" s="40">
        <f>SUM(F92:F97)</f>
        <v>665781</v>
      </c>
    </row>
    <row r="99" spans="2:6" ht="13.5" thickBot="1">
      <c r="B99" s="34"/>
      <c r="F99" s="40"/>
    </row>
    <row r="100" spans="2:6" ht="12.75">
      <c r="B100" s="34" t="s">
        <v>80</v>
      </c>
      <c r="F100" s="23"/>
    </row>
    <row r="101" spans="2:6" ht="13.5" thickBot="1">
      <c r="B101" s="34" t="s">
        <v>81</v>
      </c>
      <c r="F101" s="24"/>
    </row>
    <row r="102" spans="2:7" ht="12.75">
      <c r="B102" s="34"/>
      <c r="C102" s="34" t="s">
        <v>82</v>
      </c>
      <c r="F102" s="40">
        <f>PEC+F98+siteprep+buildings</f>
        <v>2695497</v>
      </c>
      <c r="G102" s="34"/>
    </row>
    <row r="103" spans="2:7" ht="12.75">
      <c r="B103" s="34"/>
      <c r="F103" s="40"/>
      <c r="G103" s="34"/>
    </row>
    <row r="104" spans="2:7" ht="12.75">
      <c r="B104" s="36" t="s">
        <v>83</v>
      </c>
      <c r="F104" s="40"/>
      <c r="G104" s="34"/>
    </row>
    <row r="105" spans="2:7" ht="12.75">
      <c r="B105" s="34" t="s">
        <v>84</v>
      </c>
      <c r="F105" s="40">
        <f>ROUND(0.2*F89,0)</f>
        <v>198741</v>
      </c>
      <c r="G105" s="34"/>
    </row>
    <row r="106" spans="2:7" ht="12.75">
      <c r="B106" s="34" t="s">
        <v>85</v>
      </c>
      <c r="F106" s="40">
        <f>ROUND(0.2*F89,0)</f>
        <v>198741</v>
      </c>
      <c r="G106" s="34"/>
    </row>
    <row r="107" spans="2:7" ht="12.75">
      <c r="B107" s="34" t="s">
        <v>86</v>
      </c>
      <c r="F107" s="40">
        <f>ROUND(0.1*F89,0)</f>
        <v>99370</v>
      </c>
      <c r="G107" s="34"/>
    </row>
    <row r="108" spans="2:7" ht="12.75">
      <c r="B108" s="34" t="s">
        <v>87</v>
      </c>
      <c r="F108" s="40">
        <f>ROUND(0.01*F89,0)</f>
        <v>9937</v>
      </c>
      <c r="G108" s="34"/>
    </row>
    <row r="109" spans="2:7" ht="12.75">
      <c r="B109" s="34" t="s">
        <v>88</v>
      </c>
      <c r="F109" s="40">
        <f>ROUND(0.01*F89,0)</f>
        <v>9937</v>
      </c>
      <c r="G109" s="34"/>
    </row>
    <row r="110" spans="2:7" ht="12.75">
      <c r="B110" s="34" t="s">
        <v>89</v>
      </c>
      <c r="F110" s="40">
        <f>ROUND(0.02*F89,0)</f>
        <v>19874</v>
      </c>
      <c r="G110" s="34"/>
    </row>
    <row r="111" spans="2:7" ht="12.75">
      <c r="B111" s="34" t="s">
        <v>90</v>
      </c>
      <c r="F111" s="41">
        <f>ROUND(0.03*F89,0)</f>
        <v>29811</v>
      </c>
      <c r="G111" s="34"/>
    </row>
    <row r="112" spans="2:7" ht="12.75">
      <c r="B112" s="34"/>
      <c r="C112" t="s">
        <v>91</v>
      </c>
      <c r="F112" s="40">
        <f>SUM(F105:F111)</f>
        <v>566411</v>
      </c>
      <c r="G112" s="34"/>
    </row>
    <row r="113" spans="2:7" ht="12.75">
      <c r="B113" s="34"/>
      <c r="F113" s="40"/>
      <c r="G113" s="34"/>
    </row>
    <row r="114" spans="2:7" ht="12.75">
      <c r="B114" s="36" t="s">
        <v>92</v>
      </c>
      <c r="F114" s="40">
        <f>(F102+F112)*G76</f>
        <v>4566671.199999999</v>
      </c>
      <c r="G114" s="34"/>
    </row>
    <row r="115" spans="2:9" ht="12.75">
      <c r="B115" s="36" t="s">
        <v>93</v>
      </c>
      <c r="F115" s="34"/>
      <c r="G115" s="40">
        <f>F114*G68/320</f>
        <v>5626995.169249999</v>
      </c>
      <c r="H115" s="52">
        <f>G115/D45</f>
        <v>36.82588461551047</v>
      </c>
      <c r="I115" t="s">
        <v>129</v>
      </c>
    </row>
    <row r="116" spans="8:9" ht="12.75">
      <c r="H116" s="52">
        <f>G115/H3/1000</f>
        <v>112.53990338499999</v>
      </c>
      <c r="I116" t="s">
        <v>130</v>
      </c>
    </row>
    <row r="117" spans="1:9" ht="15.75">
      <c r="A117" s="42" t="s">
        <v>94</v>
      </c>
      <c r="B117" s="43"/>
      <c r="C117" s="43"/>
      <c r="D117" s="43"/>
      <c r="E117" s="43"/>
      <c r="F117" s="43"/>
      <c r="G117" s="15"/>
      <c r="H117" s="54">
        <f>G115/H3</f>
        <v>112539.90338499998</v>
      </c>
      <c r="I117" t="s">
        <v>131</v>
      </c>
    </row>
    <row r="118" spans="1:6" ht="15.75">
      <c r="A118" s="44"/>
      <c r="B118" s="34"/>
      <c r="C118" s="34"/>
      <c r="D118" s="34"/>
      <c r="E118" s="34"/>
      <c r="F118" s="34"/>
    </row>
    <row r="119" spans="1:6" ht="12.75">
      <c r="A119" s="34"/>
      <c r="B119" s="34" t="s">
        <v>95</v>
      </c>
      <c r="C119" s="34"/>
      <c r="D119" s="34"/>
      <c r="E119" s="34"/>
      <c r="F119" s="34"/>
    </row>
    <row r="120" spans="1:6" ht="12.75">
      <c r="A120" s="34"/>
      <c r="B120" s="34" t="s">
        <v>96</v>
      </c>
      <c r="C120" s="34"/>
      <c r="D120" s="34"/>
      <c r="E120" s="34"/>
      <c r="F120" s="34"/>
    </row>
    <row r="121" spans="1:6" ht="12.75">
      <c r="A121" s="34"/>
      <c r="B121" s="36" t="s">
        <v>97</v>
      </c>
      <c r="C121" s="34"/>
      <c r="D121" s="34"/>
      <c r="E121" s="34"/>
      <c r="F121" s="40">
        <f>IF(signalCE=1,(hours/24)*3*costlabor,(hours/24)*3*12)</f>
        <v>16064.745</v>
      </c>
    </row>
    <row r="122" spans="1:6" ht="12.75">
      <c r="A122" s="34"/>
      <c r="B122" s="34" t="s">
        <v>98</v>
      </c>
      <c r="C122" s="34"/>
      <c r="D122" s="34"/>
      <c r="E122" s="34"/>
      <c r="F122" s="40">
        <f>ROUND(0.15*F121,0)</f>
        <v>2410</v>
      </c>
    </row>
    <row r="123" spans="1:6" ht="12.75">
      <c r="A123" s="34"/>
      <c r="B123" s="34" t="s">
        <v>99</v>
      </c>
      <c r="C123" s="34"/>
      <c r="D123" s="34"/>
      <c r="E123" s="34"/>
      <c r="F123" s="40">
        <f>ROUND(F121/3,0)</f>
        <v>5355</v>
      </c>
    </row>
    <row r="124" spans="1:6" ht="12.75">
      <c r="A124" s="34"/>
      <c r="B124" s="34" t="s">
        <v>100</v>
      </c>
      <c r="C124" s="34"/>
      <c r="D124" s="34"/>
      <c r="E124" s="34"/>
      <c r="F124" s="40"/>
    </row>
    <row r="125" spans="1:6" ht="12.75">
      <c r="A125" s="34"/>
      <c r="B125" s="34"/>
      <c r="C125" s="34"/>
      <c r="D125" s="34"/>
      <c r="E125" s="34"/>
      <c r="F125" s="40"/>
    </row>
    <row r="126" spans="1:6" ht="12.75">
      <c r="A126" s="34"/>
      <c r="B126" s="34" t="s">
        <v>101</v>
      </c>
      <c r="C126" s="34"/>
      <c r="D126" s="34"/>
      <c r="E126" s="34"/>
      <c r="F126" s="40"/>
    </row>
    <row r="127" spans="1:6" ht="12.75">
      <c r="A127" s="34"/>
      <c r="B127" s="36" t="s">
        <v>102</v>
      </c>
      <c r="C127" s="34"/>
      <c r="D127" s="34"/>
      <c r="E127" s="34"/>
      <c r="F127" s="40">
        <f>IF(signalCE=1,IF(D46&gt;50000,ROUND(0.0825*D46*G68/320,0),4125*G68/320),IF(D46&gt;50000,ROUND(0.0825*D46,0),4125))</f>
        <v>5082.7734375</v>
      </c>
    </row>
    <row r="128" spans="1:6" ht="12.75">
      <c r="A128" s="34"/>
      <c r="B128" s="34" t="s">
        <v>103</v>
      </c>
      <c r="C128" s="34"/>
      <c r="D128" s="34"/>
      <c r="E128" s="34"/>
      <c r="F128" s="40">
        <f>ROUND(0.01*F89,0)</f>
        <v>9937</v>
      </c>
    </row>
    <row r="129" spans="1:6" ht="12.75">
      <c r="A129" s="34"/>
      <c r="B129" s="34" t="s">
        <v>104</v>
      </c>
      <c r="C129" s="34"/>
      <c r="D129" s="34"/>
      <c r="E129" s="34"/>
      <c r="F129" s="40"/>
    </row>
    <row r="130" spans="1:8" ht="12.75">
      <c r="A130" s="34"/>
      <c r="B130" s="34" t="s">
        <v>105</v>
      </c>
      <c r="C130" s="34"/>
      <c r="D130" s="34"/>
      <c r="E130" s="34"/>
      <c r="F130" s="40">
        <f>IF(G69=1,ROUND(0.000181*D45*4.48*hours*costpower,0),ROUND(0.000181*D45*4.48*hours*0.06,0))</f>
        <v>55355</v>
      </c>
      <c r="G130" s="11">
        <f>(F130+F132)/0.06/50</f>
        <v>24689</v>
      </c>
      <c r="H130" t="s">
        <v>143</v>
      </c>
    </row>
    <row r="131" spans="1:6" ht="12.75">
      <c r="A131" s="34"/>
      <c r="B131" s="36" t="s">
        <v>106</v>
      </c>
      <c r="C131" s="34"/>
      <c r="D131" s="34"/>
      <c r="E131" s="34"/>
      <c r="F131" s="40"/>
    </row>
    <row r="132" spans="1:6" ht="12.75">
      <c r="A132" s="34"/>
      <c r="B132" s="34" t="s">
        <v>107</v>
      </c>
      <c r="C132" s="34"/>
      <c r="D132" s="34"/>
      <c r="E132" s="34"/>
      <c r="F132" s="40">
        <f>IF(G69=1,ROUND(0.00194*D46*hours*costpower,0),ROUND(0.00194*D46*hours*0.06,0))</f>
        <v>18712</v>
      </c>
    </row>
    <row r="133" spans="1:6" ht="13.5" thickBot="1">
      <c r="A133" s="34"/>
      <c r="B133" s="36" t="s">
        <v>108</v>
      </c>
      <c r="C133" s="34"/>
      <c r="D133" s="34"/>
      <c r="E133" s="34"/>
      <c r="F133" s="40"/>
    </row>
    <row r="134" spans="1:8" ht="13.5" thickBot="1">
      <c r="A134" s="34"/>
      <c r="B134" s="34" t="s">
        <v>109</v>
      </c>
      <c r="C134" s="34"/>
      <c r="D134" s="47">
        <v>2</v>
      </c>
      <c r="E134" s="34" t="s">
        <v>110</v>
      </c>
      <c r="F134" s="40">
        <f>IF(G69=1,ROUND(0.00000429*F46*D47*D45*(costtip+0.5*D134),0),ROUND(0.00000429*F46*D47*D45*(20+0.5*D134),0))</f>
        <v>24893</v>
      </c>
      <c r="G134" s="56">
        <f>F46*D47*D45/7000/2000/50</f>
        <v>0.16253554285714286</v>
      </c>
      <c r="H134" t="s">
        <v>142</v>
      </c>
    </row>
    <row r="135" spans="1:6" ht="12.75">
      <c r="A135" s="34"/>
      <c r="B135" s="34"/>
      <c r="C135" s="36" t="s">
        <v>111</v>
      </c>
      <c r="D135" s="34"/>
      <c r="E135" s="34"/>
      <c r="F135" s="41"/>
    </row>
    <row r="136" spans="1:6" ht="12.75">
      <c r="A136" s="34"/>
      <c r="B136" s="34"/>
      <c r="C136" s="36" t="s">
        <v>112</v>
      </c>
      <c r="D136" s="34" t="str">
        <f>IF(signalCE=1,"your year dollars","base year dollars")</f>
        <v>your year dollars</v>
      </c>
      <c r="E136" s="34"/>
      <c r="F136" s="40">
        <f>SUM(F121:F134)</f>
        <v>137809.5184375</v>
      </c>
    </row>
    <row r="137" spans="1:6" ht="12.75">
      <c r="A137" s="34"/>
      <c r="B137" s="34" t="s">
        <v>113</v>
      </c>
      <c r="C137" s="34"/>
      <c r="D137" s="34"/>
      <c r="E137" s="34"/>
      <c r="F137" s="40"/>
    </row>
    <row r="138" spans="1:6" ht="12.75">
      <c r="A138" s="34"/>
      <c r="B138" s="34" t="s">
        <v>114</v>
      </c>
      <c r="C138" s="34"/>
      <c r="D138" s="34"/>
      <c r="E138" s="34"/>
      <c r="F138" s="40">
        <f>IF(signalCE=1,ROUND(0.6*G68/320*(SUM(F121:F128)),0),ROUND(0.6*(SUM(F121:F128)),0))</f>
        <v>28722</v>
      </c>
    </row>
    <row r="139" spans="1:6" ht="12.75">
      <c r="A139" s="34"/>
      <c r="B139" s="34" t="s">
        <v>115</v>
      </c>
      <c r="C139" s="34"/>
      <c r="D139" s="34"/>
      <c r="E139" s="34"/>
      <c r="F139" s="40">
        <f>IF(signalCE=1,ROUND(0.02*G115,0),ROUND(0.02*TCI,0))</f>
        <v>112540</v>
      </c>
    </row>
    <row r="140" spans="1:6" ht="12.75">
      <c r="A140" s="34"/>
      <c r="B140" s="34" t="s">
        <v>116</v>
      </c>
      <c r="C140" s="34"/>
      <c r="D140" s="34"/>
      <c r="E140" s="34"/>
      <c r="F140" s="40">
        <f>IF(signalCE=1,ROUND(0.01*G115,0),ROUND(0.01*TCI,0))</f>
        <v>56270</v>
      </c>
    </row>
    <row r="141" spans="1:6" ht="12.75">
      <c r="A141" s="34"/>
      <c r="B141" s="34" t="s">
        <v>117</v>
      </c>
      <c r="C141" s="34"/>
      <c r="D141" s="34"/>
      <c r="E141" s="34"/>
      <c r="F141" s="40">
        <f>IF(signalCE=1,ROUND(0.01*G115,0),ROUND(0.01*TCI,0))</f>
        <v>56270</v>
      </c>
    </row>
    <row r="142" spans="1:6" ht="12.75">
      <c r="A142" s="34"/>
      <c r="B142" s="36" t="s">
        <v>118</v>
      </c>
      <c r="C142" s="34"/>
      <c r="D142" s="34"/>
      <c r="E142" s="34"/>
      <c r="F142" s="40">
        <f>IF(signalCE=1,ROUND(G73*(1+G73)^G74/((1+G73)^G74-1)*G115,0),ROUND(0.1175*F114,0))</f>
        <v>531149</v>
      </c>
    </row>
    <row r="143" spans="1:6" ht="12.75">
      <c r="A143" s="34"/>
      <c r="B143" s="34"/>
      <c r="C143" s="34"/>
      <c r="D143" s="34"/>
      <c r="E143" s="34"/>
      <c r="F143" s="41"/>
    </row>
    <row r="144" spans="1:6" ht="12.75">
      <c r="A144" s="34"/>
      <c r="B144" s="34"/>
      <c r="C144" s="36" t="s">
        <v>119</v>
      </c>
      <c r="D144" s="34" t="str">
        <f>IF(signalCE=1,"your year dollars","base year dollars")</f>
        <v>your year dollars</v>
      </c>
      <c r="E144" s="34"/>
      <c r="F144" s="40">
        <f>SUM(F138:F142)</f>
        <v>784951</v>
      </c>
    </row>
    <row r="145" spans="1:6" ht="12.75">
      <c r="A145" s="34"/>
      <c r="B145" s="34"/>
      <c r="C145" s="34"/>
      <c r="D145" s="34"/>
      <c r="E145" s="34"/>
      <c r="F145" s="40"/>
    </row>
    <row r="146" spans="1:9" ht="12.75">
      <c r="A146" s="45"/>
      <c r="B146" s="46" t="s">
        <v>120</v>
      </c>
      <c r="C146" s="45"/>
      <c r="D146" s="34" t="str">
        <f>IF(signalCE=1,"your year dollars","base year dollars")</f>
        <v>your year dollars</v>
      </c>
      <c r="E146" s="34"/>
      <c r="F146" s="40">
        <f>F136+F144</f>
        <v>922760.5184375</v>
      </c>
      <c r="H146" s="53">
        <f>F146/flue</f>
        <v>2.013002876172557</v>
      </c>
      <c r="I146" t="s">
        <v>129</v>
      </c>
    </row>
    <row r="147" spans="1:9" ht="12.75">
      <c r="A147" s="46"/>
      <c r="B147" s="45"/>
      <c r="C147" s="45"/>
      <c r="D147" s="45"/>
      <c r="E147" s="34"/>
      <c r="F147" s="34"/>
      <c r="H147" s="53">
        <f>F146/H3/1000</f>
        <v>18.45521036875</v>
      </c>
      <c r="I147" t="s">
        <v>130</v>
      </c>
    </row>
    <row r="148" spans="8:9" ht="12.75">
      <c r="H148" s="55">
        <f>F146/H3</f>
        <v>18455.21036875</v>
      </c>
      <c r="I148" t="s">
        <v>131</v>
      </c>
    </row>
    <row r="153" ht="12.75">
      <c r="G153" s="9"/>
    </row>
    <row r="164" spans="1:7" ht="12.75">
      <c r="A164">
        <v>0.5</v>
      </c>
      <c r="B164">
        <v>0.75</v>
      </c>
      <c r="C164">
        <v>0.9</v>
      </c>
      <c r="D164">
        <v>0.95</v>
      </c>
      <c r="E164">
        <v>0.99</v>
      </c>
      <c r="F164">
        <v>0.995</v>
      </c>
      <c r="G164">
        <v>0.999</v>
      </c>
    </row>
    <row r="165" spans="1:7" ht="12.75">
      <c r="A165" s="7">
        <v>308802</v>
      </c>
      <c r="B165" s="7">
        <v>378309</v>
      </c>
      <c r="C165" s="7">
        <v>416839</v>
      </c>
      <c r="D165" s="7">
        <v>517794</v>
      </c>
      <c r="E165" s="7">
        <v>673798</v>
      </c>
      <c r="F165" s="7">
        <v>589425</v>
      </c>
      <c r="G165" s="7">
        <v>680192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2.28125" style="0" customWidth="1"/>
    <col min="4" max="4" width="11.140625" style="0" customWidth="1"/>
    <col min="5" max="5" width="10.421875" style="0" customWidth="1"/>
    <col min="6" max="6" width="11.421875" style="0" customWidth="1"/>
    <col min="7" max="7" width="12.00390625" style="0" customWidth="1"/>
    <col min="8" max="8" width="10.8515625" style="0" customWidth="1"/>
  </cols>
  <sheetData>
    <row r="1" ht="19.5">
      <c r="D1" s="1" t="s">
        <v>0</v>
      </c>
    </row>
    <row r="2" ht="13.5" thickBot="1"/>
    <row r="3" spans="1:8" ht="13.5" thickBot="1">
      <c r="A3" s="2" t="s">
        <v>1</v>
      </c>
      <c r="B3" s="25" t="s">
        <v>145</v>
      </c>
      <c r="C3" s="16"/>
      <c r="D3" s="16"/>
      <c r="E3" s="16"/>
      <c r="F3" s="16"/>
      <c r="G3" s="17"/>
      <c r="H3">
        <v>25</v>
      </c>
    </row>
    <row r="5" ht="12.75">
      <c r="B5" s="18" t="s">
        <v>2</v>
      </c>
    </row>
    <row r="7" spans="1:4" ht="12.75">
      <c r="A7" s="2" t="s">
        <v>3</v>
      </c>
      <c r="D7" s="2" t="str">
        <f>IF(T=2,"Flat Plate Design","Plate-Wire Design")</f>
        <v>Flat Plate Design</v>
      </c>
    </row>
    <row r="8" spans="2:6" ht="13.5" thickBot="1">
      <c r="B8" s="5" t="s">
        <v>4</v>
      </c>
      <c r="C8" s="5"/>
      <c r="D8" s="5"/>
      <c r="E8" s="12">
        <v>2</v>
      </c>
      <c r="F8" t="s">
        <v>5</v>
      </c>
    </row>
    <row r="9" spans="2:8" ht="13.5" thickBot="1">
      <c r="B9" s="5" t="s">
        <v>6</v>
      </c>
      <c r="C9" s="5"/>
      <c r="D9" s="5"/>
      <c r="E9" s="19">
        <v>0.8</v>
      </c>
      <c r="F9" s="2"/>
      <c r="G9" s="2"/>
      <c r="H9" s="2"/>
    </row>
    <row r="10" spans="2:5" ht="13.5" thickBot="1">
      <c r="B10" s="5" t="s">
        <v>7</v>
      </c>
      <c r="C10" s="5"/>
      <c r="D10" s="5"/>
      <c r="E10" s="10">
        <f>(1-E)</f>
        <v>0.19999999999999996</v>
      </c>
    </row>
    <row r="11" spans="2:8" ht="12.75">
      <c r="B11" s="5" t="s">
        <v>8</v>
      </c>
      <c r="C11" s="5"/>
      <c r="D11" s="5"/>
      <c r="E11" s="20">
        <v>413</v>
      </c>
      <c r="F11" s="9"/>
      <c r="G11" s="9"/>
      <c r="H11" s="9"/>
    </row>
    <row r="12" spans="2:8" ht="12.75">
      <c r="B12" s="5" t="s">
        <v>9</v>
      </c>
      <c r="C12" s="5"/>
      <c r="D12" s="5"/>
      <c r="E12" s="21">
        <v>2000000000</v>
      </c>
      <c r="G12" s="8"/>
      <c r="H12" s="2"/>
    </row>
    <row r="13" spans="2:8" ht="13.5" thickBot="1">
      <c r="B13" s="5" t="s">
        <v>10</v>
      </c>
      <c r="C13" s="5"/>
      <c r="D13" s="5"/>
      <c r="E13" s="26">
        <v>3.5</v>
      </c>
      <c r="F13" s="2"/>
      <c r="G13" s="2"/>
      <c r="H13" s="2"/>
    </row>
    <row r="14" spans="2:8" ht="13.5" thickBot="1">
      <c r="B14" s="5" t="s">
        <v>11</v>
      </c>
      <c r="C14" s="5"/>
      <c r="D14" s="5"/>
      <c r="E14" s="5">
        <f>+IF(T=1,0.07,0.1)</f>
        <v>0.1</v>
      </c>
      <c r="F14" s="2"/>
      <c r="G14" s="2"/>
      <c r="H14" s="2"/>
    </row>
    <row r="15" spans="2:8" ht="12.75">
      <c r="B15" s="5" t="s">
        <v>12</v>
      </c>
      <c r="C15" s="5"/>
      <c r="D15" s="5"/>
      <c r="E15" s="20">
        <v>0.124</v>
      </c>
      <c r="F15" s="2"/>
      <c r="G15" s="2"/>
      <c r="H15" s="2"/>
    </row>
    <row r="16" spans="2:8" ht="13.5" thickBot="1">
      <c r="B16" s="5" t="s">
        <v>13</v>
      </c>
      <c r="C16" s="5"/>
      <c r="D16" s="5"/>
      <c r="E16" s="26">
        <v>2</v>
      </c>
      <c r="F16" s="2"/>
      <c r="G16" s="2"/>
      <c r="H16" s="2"/>
    </row>
    <row r="17" spans="2:8" ht="12.75">
      <c r="B17" s="5" t="s">
        <v>14</v>
      </c>
      <c r="C17" s="5"/>
      <c r="D17" s="5"/>
      <c r="E17" s="27">
        <f>IF(MMDi&lt;5,3,5)</f>
        <v>3</v>
      </c>
      <c r="F17" s="2"/>
      <c r="G17" s="2"/>
      <c r="H17" s="2"/>
    </row>
    <row r="18" spans="2:8" ht="12.75">
      <c r="B18" s="5" t="s">
        <v>15</v>
      </c>
      <c r="C18" s="5"/>
      <c r="D18" s="5"/>
      <c r="E18" s="27">
        <f>+Sn+RR*(1-Sn)</f>
        <v>0.2116</v>
      </c>
      <c r="F18" s="2"/>
      <c r="G18" s="2"/>
      <c r="H18" s="2"/>
    </row>
    <row r="19" spans="2:8" ht="12.75">
      <c r="B19" s="5" t="s">
        <v>16</v>
      </c>
      <c r="C19" s="5"/>
      <c r="D19" s="5"/>
      <c r="E19" s="28">
        <f>630000*(273/Tk)^1.65</f>
        <v>318193.5206075361</v>
      </c>
      <c r="F19" s="5" t="s">
        <v>17</v>
      </c>
      <c r="G19" s="2"/>
      <c r="H19" s="2"/>
    </row>
    <row r="20" spans="2:8" ht="12.75">
      <c r="B20" s="5" t="s">
        <v>18</v>
      </c>
      <c r="C20" s="5"/>
      <c r="D20" s="5"/>
      <c r="E20" s="27">
        <f>0.0000172*(Tk/273)^0.71</f>
        <v>2.30769019164502E-05</v>
      </c>
      <c r="F20" s="5" t="s">
        <v>19</v>
      </c>
      <c r="G20" s="2"/>
      <c r="H20" s="2"/>
    </row>
    <row r="21" spans="2:8" ht="12.75">
      <c r="B21" s="5" t="s">
        <v>20</v>
      </c>
      <c r="C21" s="5"/>
      <c r="D21" s="5"/>
      <c r="E21" s="29">
        <v>8.845E-12</v>
      </c>
      <c r="F21" s="5" t="s">
        <v>21</v>
      </c>
      <c r="G21" s="2"/>
      <c r="H21" s="2"/>
    </row>
    <row r="22" spans="2:8" ht="12.75">
      <c r="B22" s="5" t="s">
        <v>22</v>
      </c>
      <c r="C22" s="5"/>
      <c r="D22" s="5"/>
      <c r="E22" s="28">
        <f>IF(Res&gt;200000000000,IF(T=1,0.7*Ebd/1.75,0.7*Ebd*5/6.3),IF(T=1,Ebd/1.75,Ebd*5/6.3))</f>
        <v>252534.5401647112</v>
      </c>
      <c r="F22" s="2"/>
      <c r="G22" s="2"/>
      <c r="H22" s="2"/>
    </row>
    <row r="23" spans="2:8" ht="12.75">
      <c r="B23" s="5" t="s">
        <v>23</v>
      </c>
      <c r="C23" s="5"/>
      <c r="D23" s="5"/>
      <c r="E23" s="27">
        <f>IF(LF&lt;p,1,IF(LF^2&lt;p,2,IF(LF^3&lt;p,3,IF(LF^4&lt;p,4,IF(LF^5&lt;p,5,IF(LF^6&lt;p,6,IF(LF^7&lt;p,7,0)))))))</f>
        <v>2</v>
      </c>
      <c r="F23" s="2"/>
      <c r="G23" s="2"/>
      <c r="H23" s="2"/>
    </row>
    <row r="24" spans="2:8" ht="12.75">
      <c r="B24" s="5" t="s">
        <v>24</v>
      </c>
      <c r="C24" s="5"/>
      <c r="D24" s="5"/>
      <c r="E24" s="30">
        <f>p^(1/No.)</f>
        <v>0.44721359549995787</v>
      </c>
      <c r="F24" s="2"/>
      <c r="G24" s="2"/>
      <c r="H24" s="2"/>
    </row>
    <row r="25" spans="2:8" ht="12.75">
      <c r="B25" s="5" t="s">
        <v>25</v>
      </c>
      <c r="C25" s="5"/>
      <c r="D25" s="5"/>
      <c r="E25" s="30">
        <f>IF((Ps-LF)/(1-LF)&gt;0,(Ps-LF)/(1-LF),0)</f>
        <v>0.2988503240740206</v>
      </c>
      <c r="F25" s="2"/>
      <c r="G25" s="2"/>
      <c r="H25" s="2"/>
    </row>
    <row r="26" spans="2:8" ht="12.75">
      <c r="B26" s="5" t="s">
        <v>26</v>
      </c>
      <c r="C26" s="5"/>
      <c r="D26" s="5"/>
      <c r="E26" s="30">
        <f>Sn+Pc*(1-Sn)+RR*(1-Sn)*(1-Pc)</f>
        <v>0.4472135954999579</v>
      </c>
      <c r="F26" s="2"/>
      <c r="G26" s="2"/>
      <c r="H26" s="2"/>
    </row>
    <row r="27" spans="2:8" ht="12.75">
      <c r="B27" s="5" t="s">
        <v>27</v>
      </c>
      <c r="C27" s="5"/>
      <c r="D27" s="5"/>
      <c r="E27" s="30">
        <f>RR*(1-Sn)*(1-Pc)*MMDr/D</f>
        <v>0.5249055794862122</v>
      </c>
      <c r="F27" s="2"/>
      <c r="G27" s="2"/>
      <c r="H27" s="2"/>
    </row>
    <row r="28" spans="2:8" ht="12.75">
      <c r="B28" s="5" t="s">
        <v>28</v>
      </c>
      <c r="C28" s="5"/>
      <c r="D28" s="5">
        <v>1</v>
      </c>
      <c r="E28" s="27">
        <f>MMDi</f>
        <v>3.5</v>
      </c>
      <c r="F28" s="2"/>
      <c r="G28" s="2"/>
      <c r="H28" s="2"/>
    </row>
    <row r="29" spans="2:8" ht="12.75">
      <c r="B29" s="2"/>
      <c r="C29" s="2"/>
      <c r="D29" s="5">
        <v>2</v>
      </c>
      <c r="E29" s="31">
        <f aca="true" t="shared" si="0" ref="E29:E34">IF(No.&lt;D29,0,(E28*Sn+((1-Pc)*MMDp+Pc*E28)*Pc)/D+MMDrp)</f>
        <v>2.9435885831581428</v>
      </c>
      <c r="F29" s="2"/>
      <c r="G29" s="2"/>
      <c r="H29" s="2"/>
    </row>
    <row r="30" spans="2:8" ht="12.75">
      <c r="B30" s="2"/>
      <c r="C30" s="2"/>
      <c r="D30" s="5">
        <v>3</v>
      </c>
      <c r="E30" s="31">
        <f t="shared" si="0"/>
        <v>0</v>
      </c>
      <c r="F30" s="2"/>
      <c r="G30" s="2"/>
      <c r="H30" s="2"/>
    </row>
    <row r="31" spans="2:8" ht="12.75">
      <c r="B31" s="2"/>
      <c r="C31" s="2"/>
      <c r="D31" s="5">
        <v>4</v>
      </c>
      <c r="E31" s="31">
        <f t="shared" si="0"/>
        <v>0</v>
      </c>
      <c r="F31" s="2"/>
      <c r="G31" s="2"/>
      <c r="H31" s="2"/>
    </row>
    <row r="32" spans="2:8" ht="12.75">
      <c r="B32" s="2"/>
      <c r="C32" s="2"/>
      <c r="D32" s="5">
        <v>5</v>
      </c>
      <c r="E32" s="31">
        <f t="shared" si="0"/>
        <v>0</v>
      </c>
      <c r="F32" s="2"/>
      <c r="G32" s="2"/>
      <c r="H32" s="2"/>
    </row>
    <row r="33" spans="2:8" ht="12.75">
      <c r="B33" s="2"/>
      <c r="C33" s="2"/>
      <c r="D33" s="5">
        <v>6</v>
      </c>
      <c r="E33" s="31">
        <f t="shared" si="0"/>
        <v>0</v>
      </c>
      <c r="F33" s="2"/>
      <c r="G33" s="2"/>
      <c r="H33" s="2"/>
    </row>
    <row r="34" spans="2:8" ht="12.75">
      <c r="B34" s="2"/>
      <c r="C34" s="2"/>
      <c r="D34" s="5">
        <v>7</v>
      </c>
      <c r="E34" s="31">
        <f t="shared" si="0"/>
        <v>0</v>
      </c>
      <c r="F34" s="2"/>
      <c r="G34" s="2"/>
      <c r="H34" s="2"/>
    </row>
    <row r="35" spans="2:8" ht="12.75">
      <c r="B35" t="s">
        <v>29</v>
      </c>
      <c r="C35" s="2"/>
      <c r="D35" s="5">
        <v>1</v>
      </c>
      <c r="E35" s="32">
        <f aca="true" t="shared" si="1" ref="E35:E41">IF(No.&lt;D35,0,-(n/e0)*(1-Sn)*LN(Pc)/(Eavg^2*E28*0.000001))</f>
        <v>12.706093577977311</v>
      </c>
      <c r="F35" s="2"/>
      <c r="G35" s="2"/>
      <c r="H35" s="2"/>
    </row>
    <row r="36" spans="2:5" ht="12.75">
      <c r="B36" s="3"/>
      <c r="D36">
        <v>2</v>
      </c>
      <c r="E36" s="32">
        <f t="shared" si="1"/>
        <v>15.10786112480699</v>
      </c>
    </row>
    <row r="37" spans="4:6" ht="12.75">
      <c r="D37">
        <v>3</v>
      </c>
      <c r="E37" s="32">
        <f t="shared" si="1"/>
        <v>0</v>
      </c>
      <c r="F37" s="13"/>
    </row>
    <row r="38" spans="4:6" ht="12.75">
      <c r="D38">
        <v>4</v>
      </c>
      <c r="E38" s="32">
        <f t="shared" si="1"/>
        <v>0</v>
      </c>
      <c r="F38" s="13"/>
    </row>
    <row r="39" spans="4:6" ht="12.75">
      <c r="D39">
        <v>5</v>
      </c>
      <c r="E39" s="32">
        <f t="shared" si="1"/>
        <v>0</v>
      </c>
      <c r="F39" s="14"/>
    </row>
    <row r="40" spans="4:6" ht="12.75">
      <c r="D40">
        <v>6</v>
      </c>
      <c r="E40" s="32">
        <f t="shared" si="1"/>
        <v>0</v>
      </c>
      <c r="F40" s="14"/>
    </row>
    <row r="41" spans="4:6" ht="12.75">
      <c r="D41">
        <v>7</v>
      </c>
      <c r="E41" s="32">
        <f t="shared" si="1"/>
        <v>0</v>
      </c>
      <c r="F41" s="4"/>
    </row>
    <row r="42" spans="2:5" ht="12.75">
      <c r="B42" t="s">
        <v>30</v>
      </c>
      <c r="E42" s="14">
        <f>SUM(E35:E41)</f>
        <v>27.8139547027843</v>
      </c>
    </row>
    <row r="43" spans="2:5" ht="12.75">
      <c r="B43" t="s">
        <v>31</v>
      </c>
      <c r="E43" s="14">
        <f>+E42*5.08</f>
        <v>141.29488989014425</v>
      </c>
    </row>
    <row r="44" ht="13.5" thickBot="1"/>
    <row r="45" spans="1:9" ht="13.5" thickBot="1">
      <c r="A45" t="s">
        <v>32</v>
      </c>
      <c r="D45" s="22">
        <v>76400</v>
      </c>
      <c r="E45" s="34" t="s">
        <v>33</v>
      </c>
      <c r="F45" s="34" t="s">
        <v>34</v>
      </c>
      <c r="G45" s="34"/>
      <c r="I45" t="s">
        <v>35</v>
      </c>
    </row>
    <row r="46" spans="1:7" ht="13.5" thickBot="1">
      <c r="A46" t="s">
        <v>36</v>
      </c>
      <c r="D46" s="11">
        <f>+D45/1000*E43</f>
        <v>10794.929587607021</v>
      </c>
      <c r="E46" s="34" t="s">
        <v>37</v>
      </c>
      <c r="F46" s="51">
        <v>0.1</v>
      </c>
      <c r="G46" s="34" t="s">
        <v>38</v>
      </c>
    </row>
    <row r="47" spans="1:4" ht="13.5" thickBot="1">
      <c r="A47" t="s">
        <v>39</v>
      </c>
      <c r="D47" s="33">
        <v>7446</v>
      </c>
    </row>
    <row r="48" spans="1:7" ht="12.75">
      <c r="A48" s="35" t="s">
        <v>40</v>
      </c>
      <c r="B48" s="34"/>
      <c r="C48" s="34"/>
      <c r="D48" s="34"/>
      <c r="E48" s="34"/>
      <c r="F48" s="34"/>
      <c r="G48" s="34"/>
    </row>
    <row r="49" spans="1:7" ht="12.75">
      <c r="A49" s="34"/>
      <c r="B49" s="34" t="s">
        <v>41</v>
      </c>
      <c r="C49" s="34"/>
      <c r="D49" s="34"/>
      <c r="E49" s="34"/>
      <c r="F49" s="34"/>
      <c r="G49" s="34"/>
    </row>
    <row r="50" spans="1:7" ht="12.75">
      <c r="A50" s="35"/>
      <c r="B50" s="34" t="s">
        <v>42</v>
      </c>
      <c r="C50" s="34"/>
      <c r="D50" s="34"/>
      <c r="E50" s="34"/>
      <c r="F50" s="34"/>
      <c r="G50" s="34"/>
    </row>
    <row r="51" spans="1:7" ht="12.75">
      <c r="A51" s="35"/>
      <c r="B51" s="34" t="s">
        <v>43</v>
      </c>
      <c r="C51" s="34"/>
      <c r="D51" s="34"/>
      <c r="E51" s="34"/>
      <c r="F51" s="34"/>
      <c r="G51" s="34"/>
    </row>
    <row r="52" spans="1:7" ht="12.75">
      <c r="A52" s="35"/>
      <c r="B52" s="34" t="s">
        <v>44</v>
      </c>
      <c r="C52" s="34"/>
      <c r="D52" s="34"/>
      <c r="E52" s="34"/>
      <c r="F52" s="34"/>
      <c r="G52" s="34"/>
    </row>
    <row r="53" spans="1:7" ht="12.75">
      <c r="A53" s="34"/>
      <c r="B53" s="34" t="s">
        <v>45</v>
      </c>
      <c r="C53" s="34"/>
      <c r="D53" s="34"/>
      <c r="E53" s="34"/>
      <c r="F53" s="34"/>
      <c r="G53" s="34"/>
    </row>
    <row r="54" spans="1:7" ht="12.75">
      <c r="A54" s="34"/>
      <c r="B54" s="34" t="s">
        <v>46</v>
      </c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6" t="s">
        <v>47</v>
      </c>
      <c r="C56" s="34"/>
      <c r="D56" s="34"/>
      <c r="E56" s="34"/>
      <c r="F56" s="34"/>
      <c r="G56" s="34"/>
    </row>
    <row r="57" spans="1:7" ht="12.75">
      <c r="A57" s="34"/>
      <c r="B57" s="36" t="s">
        <v>48</v>
      </c>
      <c r="C57" s="34"/>
      <c r="D57" s="34"/>
      <c r="E57" s="34"/>
      <c r="F57" s="34"/>
      <c r="G57" s="34"/>
    </row>
    <row r="58" spans="1:7" ht="12.75">
      <c r="A58" s="34"/>
      <c r="B58" s="36" t="s">
        <v>49</v>
      </c>
      <c r="C58" s="34"/>
      <c r="D58" s="34"/>
      <c r="E58" s="34"/>
      <c r="F58" s="34"/>
      <c r="G58" s="34"/>
    </row>
    <row r="59" spans="1:7" ht="12.75">
      <c r="A59" s="34"/>
      <c r="B59" s="37" t="s">
        <v>50</v>
      </c>
      <c r="C59" s="34"/>
      <c r="D59" s="34"/>
      <c r="E59" s="34"/>
      <c r="F59" s="34"/>
      <c r="G59" s="34"/>
    </row>
    <row r="60" spans="1:7" ht="12.75">
      <c r="A60" s="34"/>
      <c r="B60" s="37" t="s">
        <v>51</v>
      </c>
      <c r="C60" s="34"/>
      <c r="D60" s="34"/>
      <c r="E60" s="34"/>
      <c r="F60" s="34"/>
      <c r="G60" s="34"/>
    </row>
    <row r="61" spans="1:7" ht="12.75">
      <c r="A61" s="34"/>
      <c r="B61" s="37"/>
      <c r="C61" s="34"/>
      <c r="D61" s="34"/>
      <c r="E61" s="34"/>
      <c r="F61" s="34"/>
      <c r="G61" s="34"/>
    </row>
    <row r="62" spans="1:7" ht="12.75">
      <c r="A62" s="34"/>
      <c r="B62" s="36" t="s">
        <v>52</v>
      </c>
      <c r="C62" s="34"/>
      <c r="D62" s="34"/>
      <c r="E62" s="34"/>
      <c r="F62" s="34"/>
      <c r="G62" s="34"/>
    </row>
    <row r="63" spans="1:7" ht="12.75">
      <c r="A63" s="34"/>
      <c r="B63" s="36" t="s">
        <v>53</v>
      </c>
      <c r="C63" s="34"/>
      <c r="D63" s="34"/>
      <c r="E63" s="34"/>
      <c r="F63" s="34"/>
      <c r="G63" s="34"/>
    </row>
    <row r="64" spans="1:7" ht="12.75">
      <c r="A64" s="34"/>
      <c r="B64" s="37"/>
      <c r="C64" s="34"/>
      <c r="D64" s="34"/>
      <c r="E64" s="34"/>
      <c r="F64" s="34"/>
      <c r="G64" s="34"/>
    </row>
    <row r="65" spans="1:7" ht="12.75">
      <c r="A65" s="34"/>
      <c r="B65" s="36" t="s">
        <v>54</v>
      </c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3.5" thickBot="1">
      <c r="A67" s="34"/>
      <c r="B67" s="36" t="s">
        <v>55</v>
      </c>
      <c r="C67" s="34"/>
      <c r="D67" s="34"/>
      <c r="E67" s="34"/>
      <c r="F67" s="34"/>
      <c r="G67" s="34"/>
    </row>
    <row r="68" spans="2:7" ht="12.75">
      <c r="B68" s="36" t="s">
        <v>56</v>
      </c>
      <c r="G68" s="38">
        <v>394.3</v>
      </c>
    </row>
    <row r="69" spans="2:7" ht="12.75">
      <c r="B69" s="34" t="s">
        <v>57</v>
      </c>
      <c r="G69" s="39">
        <v>1</v>
      </c>
    </row>
    <row r="70" spans="2:7" ht="12.75">
      <c r="B70" s="36" t="s">
        <v>58</v>
      </c>
      <c r="G70" s="39">
        <v>17.26</v>
      </c>
    </row>
    <row r="71" spans="2:7" ht="12.75">
      <c r="B71" s="36" t="s">
        <v>59</v>
      </c>
      <c r="G71" s="39">
        <v>0.06</v>
      </c>
    </row>
    <row r="72" spans="2:7" ht="12.75">
      <c r="B72" s="37" t="s">
        <v>60</v>
      </c>
      <c r="G72" s="39">
        <v>50</v>
      </c>
    </row>
    <row r="73" spans="2:7" ht="12.75">
      <c r="B73" s="37" t="s">
        <v>61</v>
      </c>
      <c r="G73" s="39">
        <v>0.07</v>
      </c>
    </row>
    <row r="74" spans="2:7" ht="12.75">
      <c r="B74" s="37" t="s">
        <v>62</v>
      </c>
      <c r="G74" s="39">
        <v>20</v>
      </c>
    </row>
    <row r="75" spans="2:7" ht="12.75">
      <c r="B75" s="48" t="s">
        <v>63</v>
      </c>
      <c r="G75" s="50">
        <v>0</v>
      </c>
    </row>
    <row r="76" spans="2:7" ht="13.5" thickBot="1">
      <c r="B76" s="48" t="s">
        <v>64</v>
      </c>
      <c r="G76" s="49">
        <v>1.4</v>
      </c>
    </row>
    <row r="77" ht="12.75">
      <c r="B77" s="18"/>
    </row>
    <row r="79" ht="15.75">
      <c r="C79" s="6" t="s">
        <v>65</v>
      </c>
    </row>
    <row r="81" ht="12.75">
      <c r="B81" s="36" t="s">
        <v>66</v>
      </c>
    </row>
    <row r="82" ht="12.75">
      <c r="B82" s="34" t="s">
        <v>67</v>
      </c>
    </row>
    <row r="83" spans="2:6" ht="12.75">
      <c r="B83" s="34" t="s">
        <v>122</v>
      </c>
      <c r="F83" s="40">
        <f>F85+F84</f>
        <v>545063.4</v>
      </c>
    </row>
    <row r="84" spans="2:6" ht="12.75">
      <c r="B84" s="34" t="s">
        <v>121</v>
      </c>
      <c r="F84" s="40">
        <f>F85*0.8</f>
        <v>242250.40000000002</v>
      </c>
    </row>
    <row r="85" spans="2:9" ht="15.75">
      <c r="B85" s="34" t="s">
        <v>146</v>
      </c>
      <c r="F85" s="40">
        <f>ROUND(IF(D46&gt;50000,83.91*D46^0.8431,891.1*D46^0.6276),0)</f>
        <v>302813</v>
      </c>
      <c r="H85" s="53">
        <f>F85/D46</f>
        <v>28.05141039063752</v>
      </c>
      <c r="I85" t="s">
        <v>147</v>
      </c>
    </row>
    <row r="86" spans="2:9" ht="12.75">
      <c r="B86" s="34" t="s">
        <v>68</v>
      </c>
      <c r="F86" s="40">
        <f>ROUND(0.1*F83,0)</f>
        <v>54506</v>
      </c>
      <c r="H86" s="53">
        <f>F85/H3/1000</f>
        <v>12.11252</v>
      </c>
      <c r="I86" t="s">
        <v>148</v>
      </c>
    </row>
    <row r="87" spans="2:6" ht="12.75">
      <c r="B87" s="34" t="s">
        <v>69</v>
      </c>
      <c r="F87" s="40">
        <f>ROUND(0.03*F83,0)</f>
        <v>16352</v>
      </c>
    </row>
    <row r="88" spans="2:6" ht="12.75">
      <c r="B88" s="34" t="s">
        <v>70</v>
      </c>
      <c r="F88" s="41">
        <f>ROUND(0.05*F83,0)</f>
        <v>27253</v>
      </c>
    </row>
    <row r="89" spans="2:6" ht="12.75">
      <c r="B89" s="34"/>
      <c r="C89" t="s">
        <v>71</v>
      </c>
      <c r="F89" s="40">
        <f>SUM(F84:F88)</f>
        <v>643174.4</v>
      </c>
    </row>
    <row r="90" spans="2:6" ht="12.75">
      <c r="B90" s="34"/>
      <c r="F90" s="40"/>
    </row>
    <row r="91" spans="2:6" ht="12.75">
      <c r="B91" s="36" t="s">
        <v>72</v>
      </c>
      <c r="F91" s="40"/>
    </row>
    <row r="92" spans="2:6" ht="12.75">
      <c r="B92" s="34" t="s">
        <v>73</v>
      </c>
      <c r="F92" s="40">
        <f>ROUND(0.04*F89,0)</f>
        <v>25727</v>
      </c>
    </row>
    <row r="93" spans="2:6" ht="12.75">
      <c r="B93" s="34" t="s">
        <v>74</v>
      </c>
      <c r="F93" s="40">
        <f>ROUND(0.5*F89,0)</f>
        <v>321587</v>
      </c>
    </row>
    <row r="94" spans="2:6" ht="12.75">
      <c r="B94" s="34" t="s">
        <v>75</v>
      </c>
      <c r="F94" s="40">
        <f>ROUND(0.08*F89,0)</f>
        <v>51454</v>
      </c>
    </row>
    <row r="95" spans="2:6" ht="12.75">
      <c r="B95" s="34" t="s">
        <v>76</v>
      </c>
      <c r="F95" s="40">
        <f>ROUND(0.01*F89,0)</f>
        <v>6432</v>
      </c>
    </row>
    <row r="96" spans="2:6" ht="12.75">
      <c r="B96" s="34" t="s">
        <v>77</v>
      </c>
      <c r="F96" s="40">
        <f>ROUND(0.02*F89,0)</f>
        <v>12863</v>
      </c>
    </row>
    <row r="97" spans="2:6" ht="12.75">
      <c r="B97" s="34" t="s">
        <v>78</v>
      </c>
      <c r="F97" s="41">
        <f>ROUND(0.02*F89,0)</f>
        <v>12863</v>
      </c>
    </row>
    <row r="98" spans="2:6" ht="12.75">
      <c r="B98" s="34"/>
      <c r="C98" t="s">
        <v>79</v>
      </c>
      <c r="F98" s="40">
        <f>SUM(F92:F97)</f>
        <v>430926</v>
      </c>
    </row>
    <row r="99" spans="2:6" ht="13.5" thickBot="1">
      <c r="B99" s="34"/>
      <c r="F99" s="40"/>
    </row>
    <row r="100" spans="2:6" ht="12.75">
      <c r="B100" s="34" t="s">
        <v>80</v>
      </c>
      <c r="F100" s="23"/>
    </row>
    <row r="101" spans="2:6" ht="13.5" thickBot="1">
      <c r="B101" s="34" t="s">
        <v>81</v>
      </c>
      <c r="F101" s="24"/>
    </row>
    <row r="102" spans="2:7" ht="12.75">
      <c r="B102" s="34"/>
      <c r="C102" s="34" t="s">
        <v>82</v>
      </c>
      <c r="F102" s="40">
        <f>PEC+F98+siteprep+buildings</f>
        <v>2460642</v>
      </c>
      <c r="G102" s="34"/>
    </row>
    <row r="103" spans="2:7" ht="12.75">
      <c r="B103" s="34"/>
      <c r="F103" s="40"/>
      <c r="G103" s="34"/>
    </row>
    <row r="104" spans="2:7" ht="12.75">
      <c r="B104" s="36" t="s">
        <v>83</v>
      </c>
      <c r="F104" s="40"/>
      <c r="G104" s="34"/>
    </row>
    <row r="105" spans="2:7" ht="12.75">
      <c r="B105" s="34" t="s">
        <v>84</v>
      </c>
      <c r="F105" s="40">
        <f>ROUND(0.2*F89,0)</f>
        <v>128635</v>
      </c>
      <c r="G105" s="34"/>
    </row>
    <row r="106" spans="2:7" ht="12.75">
      <c r="B106" s="34" t="s">
        <v>85</v>
      </c>
      <c r="F106" s="40">
        <f>ROUND(0.2*F89,0)</f>
        <v>128635</v>
      </c>
      <c r="G106" s="34"/>
    </row>
    <row r="107" spans="2:7" ht="12.75">
      <c r="B107" s="34" t="s">
        <v>86</v>
      </c>
      <c r="F107" s="40">
        <f>ROUND(0.1*F89,0)</f>
        <v>64317</v>
      </c>
      <c r="G107" s="34"/>
    </row>
    <row r="108" spans="2:7" ht="12.75">
      <c r="B108" s="34" t="s">
        <v>87</v>
      </c>
      <c r="F108" s="40">
        <f>ROUND(0.01*F89,0)</f>
        <v>6432</v>
      </c>
      <c r="G108" s="34"/>
    </row>
    <row r="109" spans="2:7" ht="12.75">
      <c r="B109" s="34" t="s">
        <v>88</v>
      </c>
      <c r="F109" s="40">
        <f>ROUND(0.01*F89,0)</f>
        <v>6432</v>
      </c>
      <c r="G109" s="34"/>
    </row>
    <row r="110" spans="2:7" ht="12.75">
      <c r="B110" s="34" t="s">
        <v>89</v>
      </c>
      <c r="F110" s="40">
        <f>ROUND(0.02*F89,0)</f>
        <v>12863</v>
      </c>
      <c r="G110" s="34"/>
    </row>
    <row r="111" spans="2:7" ht="12.75">
      <c r="B111" s="34" t="s">
        <v>90</v>
      </c>
      <c r="F111" s="41">
        <f>ROUND(0.03*F89,0)</f>
        <v>19295</v>
      </c>
      <c r="G111" s="34"/>
    </row>
    <row r="112" spans="2:7" ht="12.75">
      <c r="B112" s="34"/>
      <c r="C112" t="s">
        <v>91</v>
      </c>
      <c r="F112" s="40">
        <f>SUM(F105:F111)</f>
        <v>366609</v>
      </c>
      <c r="G112" s="34"/>
    </row>
    <row r="113" spans="2:7" ht="12.75">
      <c r="B113" s="34"/>
      <c r="F113" s="40"/>
      <c r="G113" s="34"/>
    </row>
    <row r="114" spans="2:7" ht="12.75">
      <c r="B114" s="36" t="s">
        <v>92</v>
      </c>
      <c r="F114" s="40">
        <f>(F102+F112)*G76</f>
        <v>3958151.4</v>
      </c>
      <c r="G114" s="34"/>
    </row>
    <row r="115" spans="2:9" ht="12.75">
      <c r="B115" s="36" t="s">
        <v>93</v>
      </c>
      <c r="F115" s="34"/>
      <c r="G115" s="40">
        <f>F114*G68/320</f>
        <v>4877184.6781875</v>
      </c>
      <c r="H115" s="52">
        <f>G115/D45</f>
        <v>63.8374957877945</v>
      </c>
      <c r="I115" t="s">
        <v>129</v>
      </c>
    </row>
    <row r="116" spans="8:9" ht="12.75">
      <c r="H116" s="52">
        <f>G115/H3/1000</f>
        <v>195.0873871275</v>
      </c>
      <c r="I116" t="s">
        <v>130</v>
      </c>
    </row>
    <row r="117" spans="1:9" ht="15.75">
      <c r="A117" s="42" t="s">
        <v>94</v>
      </c>
      <c r="B117" s="43"/>
      <c r="C117" s="43"/>
      <c r="D117" s="43"/>
      <c r="E117" s="43"/>
      <c r="F117" s="43"/>
      <c r="G117" s="15"/>
      <c r="H117" s="54">
        <f>G115/H3</f>
        <v>195087.3871275</v>
      </c>
      <c r="I117" t="s">
        <v>131</v>
      </c>
    </row>
    <row r="118" spans="1:6" ht="15.75">
      <c r="A118" s="44"/>
      <c r="B118" s="34"/>
      <c r="C118" s="34"/>
      <c r="D118" s="34"/>
      <c r="E118" s="34"/>
      <c r="F118" s="34"/>
    </row>
    <row r="119" spans="1:6" ht="12.75">
      <c r="A119" s="34"/>
      <c r="B119" s="34" t="s">
        <v>95</v>
      </c>
      <c r="C119" s="34"/>
      <c r="D119" s="34"/>
      <c r="E119" s="34"/>
      <c r="F119" s="34"/>
    </row>
    <row r="120" spans="1:6" ht="12.75">
      <c r="A120" s="34"/>
      <c r="B120" s="34" t="s">
        <v>96</v>
      </c>
      <c r="C120" s="34"/>
      <c r="D120" s="34"/>
      <c r="E120" s="34"/>
      <c r="F120" s="34"/>
    </row>
    <row r="121" spans="1:6" ht="12.75">
      <c r="A121" s="34"/>
      <c r="B121" s="36" t="s">
        <v>97</v>
      </c>
      <c r="C121" s="34"/>
      <c r="D121" s="34"/>
      <c r="E121" s="34"/>
      <c r="F121" s="40">
        <f>IF(signalCE=1,(hours/24)*3*costlabor,(hours/24)*3*12)</f>
        <v>16064.745</v>
      </c>
    </row>
    <row r="122" spans="1:6" ht="12.75">
      <c r="A122" s="34"/>
      <c r="B122" s="34" t="s">
        <v>98</v>
      </c>
      <c r="C122" s="34"/>
      <c r="D122" s="34"/>
      <c r="E122" s="34"/>
      <c r="F122" s="40">
        <f>ROUND(0.15*F121,0)</f>
        <v>2410</v>
      </c>
    </row>
    <row r="123" spans="1:6" ht="12.75">
      <c r="A123" s="34"/>
      <c r="B123" s="34" t="s">
        <v>99</v>
      </c>
      <c r="C123" s="34"/>
      <c r="D123" s="34"/>
      <c r="E123" s="34"/>
      <c r="F123" s="40">
        <f>ROUND(F121/3,0)</f>
        <v>5355</v>
      </c>
    </row>
    <row r="124" spans="1:6" ht="12.75">
      <c r="A124" s="34"/>
      <c r="B124" s="34" t="s">
        <v>100</v>
      </c>
      <c r="C124" s="34"/>
      <c r="D124" s="34"/>
      <c r="E124" s="34"/>
      <c r="F124" s="40"/>
    </row>
    <row r="125" spans="1:6" ht="12.75">
      <c r="A125" s="34"/>
      <c r="B125" s="34"/>
      <c r="C125" s="34"/>
      <c r="D125" s="34"/>
      <c r="E125" s="34"/>
      <c r="F125" s="40"/>
    </row>
    <row r="126" spans="1:6" ht="12.75">
      <c r="A126" s="34"/>
      <c r="B126" s="34" t="s">
        <v>101</v>
      </c>
      <c r="C126" s="34"/>
      <c r="D126" s="34"/>
      <c r="E126" s="34"/>
      <c r="F126" s="40"/>
    </row>
    <row r="127" spans="1:6" ht="12.75">
      <c r="A127" s="34"/>
      <c r="B127" s="36" t="s">
        <v>102</v>
      </c>
      <c r="C127" s="34"/>
      <c r="D127" s="34"/>
      <c r="E127" s="34"/>
      <c r="F127" s="40">
        <f>IF(signalCE=1,IF(D46&gt;50000,ROUND(0.0825*D46*G68/320,0),4125*G68/320),IF(D46&gt;50000,ROUND(0.0825*D46,0),4125))</f>
        <v>5082.7734375</v>
      </c>
    </row>
    <row r="128" spans="1:6" ht="12.75">
      <c r="A128" s="34"/>
      <c r="B128" s="34" t="s">
        <v>103</v>
      </c>
      <c r="C128" s="34"/>
      <c r="D128" s="34"/>
      <c r="E128" s="34"/>
      <c r="F128" s="40">
        <f>ROUND(0.01*F89,0)</f>
        <v>6432</v>
      </c>
    </row>
    <row r="129" spans="1:6" ht="12.75">
      <c r="A129" s="34"/>
      <c r="B129" s="34" t="s">
        <v>104</v>
      </c>
      <c r="C129" s="34"/>
      <c r="D129" s="34"/>
      <c r="E129" s="34"/>
      <c r="F129" s="40"/>
    </row>
    <row r="130" spans="1:8" ht="12.75">
      <c r="A130" s="34"/>
      <c r="B130" s="34" t="s">
        <v>105</v>
      </c>
      <c r="C130" s="34"/>
      <c r="D130" s="34"/>
      <c r="E130" s="34"/>
      <c r="F130" s="40">
        <f>IF(G69=1,ROUND(0.000181*D45*4.48*hours*costpower,0),ROUND(0.000181*D45*4.48*hours*0.06,0))</f>
        <v>27677</v>
      </c>
      <c r="G130" s="11">
        <f>(F130+F132)/0.06/25</f>
        <v>24688.66666666667</v>
      </c>
      <c r="H130" t="s">
        <v>143</v>
      </c>
    </row>
    <row r="131" spans="1:6" ht="12.75">
      <c r="A131" s="34"/>
      <c r="B131" s="36" t="s">
        <v>106</v>
      </c>
      <c r="C131" s="34"/>
      <c r="D131" s="34"/>
      <c r="E131" s="34"/>
      <c r="F131" s="40"/>
    </row>
    <row r="132" spans="1:6" ht="12.75">
      <c r="A132" s="34"/>
      <c r="B132" s="34" t="s">
        <v>107</v>
      </c>
      <c r="C132" s="34"/>
      <c r="D132" s="34"/>
      <c r="E132" s="34"/>
      <c r="F132" s="40">
        <f>IF(G69=1,ROUND(0.00194*D46*hours*costpower,0),ROUND(0.00194*D46*hours*0.06,0))</f>
        <v>9356</v>
      </c>
    </row>
    <row r="133" spans="1:6" ht="13.5" thickBot="1">
      <c r="A133" s="34"/>
      <c r="B133" s="36" t="s">
        <v>108</v>
      </c>
      <c r="C133" s="34"/>
      <c r="D133" s="34"/>
      <c r="E133" s="34"/>
      <c r="F133" s="40"/>
    </row>
    <row r="134" spans="1:8" ht="13.5" thickBot="1">
      <c r="A134" s="34"/>
      <c r="B134" s="34" t="s">
        <v>109</v>
      </c>
      <c r="C134" s="34"/>
      <c r="D134" s="47">
        <v>2</v>
      </c>
      <c r="E134" s="34" t="s">
        <v>110</v>
      </c>
      <c r="F134" s="40">
        <f>IF(G69=1,ROUND(0.00000429*F46*D47*D45*(costtip+0.5*D134),0),ROUND(0.00000429*F46*D47*D45*(20+0.5*D134),0))</f>
        <v>12446</v>
      </c>
      <c r="G134" s="56">
        <f>F46*D47*D45/7000/2000/25</f>
        <v>0.16253554285714286</v>
      </c>
      <c r="H134" t="s">
        <v>142</v>
      </c>
    </row>
    <row r="135" spans="1:6" ht="12.75">
      <c r="A135" s="34"/>
      <c r="B135" s="34"/>
      <c r="C135" s="36" t="s">
        <v>111</v>
      </c>
      <c r="D135" s="34"/>
      <c r="E135" s="34"/>
      <c r="F135" s="41"/>
    </row>
    <row r="136" spans="1:6" ht="12.75">
      <c r="A136" s="34"/>
      <c r="B136" s="34"/>
      <c r="C136" s="36" t="s">
        <v>112</v>
      </c>
      <c r="D136" s="34" t="str">
        <f>IF(signalCE=1,"your year dollars","base year dollars")</f>
        <v>your year dollars</v>
      </c>
      <c r="E136" s="34"/>
      <c r="F136" s="40">
        <f>SUM(F121:F134)</f>
        <v>84823.5184375</v>
      </c>
    </row>
    <row r="137" spans="1:6" ht="12.75">
      <c r="A137" s="34"/>
      <c r="B137" s="34" t="s">
        <v>113</v>
      </c>
      <c r="C137" s="34"/>
      <c r="D137" s="34"/>
      <c r="E137" s="34"/>
      <c r="F137" s="40"/>
    </row>
    <row r="138" spans="1:6" ht="12.75">
      <c r="A138" s="34"/>
      <c r="B138" s="34" t="s">
        <v>114</v>
      </c>
      <c r="C138" s="34"/>
      <c r="D138" s="34"/>
      <c r="E138" s="34"/>
      <c r="F138" s="40">
        <f>IF(signalCE=1,ROUND(0.6*G68/320*(SUM(F121:F128)),0),ROUND(0.6*(SUM(F121:F128)),0))</f>
        <v>26131</v>
      </c>
    </row>
    <row r="139" spans="1:6" ht="12.75">
      <c r="A139" s="34"/>
      <c r="B139" s="34" t="s">
        <v>115</v>
      </c>
      <c r="C139" s="34"/>
      <c r="D139" s="34"/>
      <c r="E139" s="34"/>
      <c r="F139" s="40">
        <f>IF(signalCE=1,ROUND(0.02*G115,0),ROUND(0.02*TCI,0))</f>
        <v>97544</v>
      </c>
    </row>
    <row r="140" spans="1:6" ht="12.75">
      <c r="A140" s="34"/>
      <c r="B140" s="34" t="s">
        <v>116</v>
      </c>
      <c r="C140" s="34"/>
      <c r="D140" s="34"/>
      <c r="E140" s="34"/>
      <c r="F140" s="40">
        <f>IF(signalCE=1,ROUND(0.01*G115,0),ROUND(0.01*TCI,0))</f>
        <v>48772</v>
      </c>
    </row>
    <row r="141" spans="1:6" ht="12.75">
      <c r="A141" s="34"/>
      <c r="B141" s="34" t="s">
        <v>117</v>
      </c>
      <c r="C141" s="34"/>
      <c r="D141" s="34"/>
      <c r="E141" s="34"/>
      <c r="F141" s="40">
        <f>IF(signalCE=1,ROUND(0.01*G115,0),ROUND(0.01*TCI,0))</f>
        <v>48772</v>
      </c>
    </row>
    <row r="142" spans="1:6" ht="12.75">
      <c r="A142" s="34"/>
      <c r="B142" s="36" t="s">
        <v>118</v>
      </c>
      <c r="C142" s="34"/>
      <c r="D142" s="34"/>
      <c r="E142" s="34"/>
      <c r="F142" s="40">
        <f>IF(signalCE=1,ROUND(G73*(1+G73)^G74/((1+G73)^G74-1)*G115,0),ROUND(0.1175*F114,0))</f>
        <v>460372</v>
      </c>
    </row>
    <row r="143" spans="1:6" ht="12.75">
      <c r="A143" s="34"/>
      <c r="B143" s="34"/>
      <c r="C143" s="34"/>
      <c r="D143" s="34"/>
      <c r="E143" s="34"/>
      <c r="F143" s="41"/>
    </row>
    <row r="144" spans="1:6" ht="12.75">
      <c r="A144" s="34"/>
      <c r="B144" s="34"/>
      <c r="C144" s="36" t="s">
        <v>119</v>
      </c>
      <c r="D144" s="34" t="str">
        <f>IF(signalCE=1,"your year dollars","base year dollars")</f>
        <v>your year dollars</v>
      </c>
      <c r="E144" s="34"/>
      <c r="F144" s="40">
        <f>SUM(F138:F142)</f>
        <v>681591</v>
      </c>
    </row>
    <row r="145" spans="1:6" ht="12.75">
      <c r="A145" s="34"/>
      <c r="B145" s="34"/>
      <c r="C145" s="34"/>
      <c r="D145" s="34"/>
      <c r="E145" s="34"/>
      <c r="F145" s="40"/>
    </row>
    <row r="146" spans="1:9" ht="12.75">
      <c r="A146" s="45"/>
      <c r="B146" s="46" t="s">
        <v>120</v>
      </c>
      <c r="C146" s="45"/>
      <c r="D146" s="34" t="str">
        <f>IF(signalCE=1,"your year dollars","base year dollars")</f>
        <v>your year dollars</v>
      </c>
      <c r="E146" s="34"/>
      <c r="F146" s="40">
        <f>F136+F144</f>
        <v>766414.5184375</v>
      </c>
      <c r="H146" s="53">
        <f>F146/flue</f>
        <v>1.6719339407449825</v>
      </c>
      <c r="I146" t="s">
        <v>129</v>
      </c>
    </row>
    <row r="147" spans="1:9" ht="12.75">
      <c r="A147" s="46"/>
      <c r="B147" s="45"/>
      <c r="C147" s="45"/>
      <c r="D147" s="45"/>
      <c r="E147" s="34"/>
      <c r="F147" s="34"/>
      <c r="H147" s="53">
        <f>F146/H3/1000</f>
        <v>30.6565807375</v>
      </c>
      <c r="I147" t="s">
        <v>130</v>
      </c>
    </row>
    <row r="148" spans="8:9" ht="12.75">
      <c r="H148" s="55">
        <f>F146/H3</f>
        <v>30656.5807375</v>
      </c>
      <c r="I148" t="s">
        <v>131</v>
      </c>
    </row>
    <row r="153" ht="12.75">
      <c r="G153" s="9"/>
    </row>
    <row r="164" spans="1:7" ht="12.75">
      <c r="A164">
        <v>0.5</v>
      </c>
      <c r="B164">
        <v>0.75</v>
      </c>
      <c r="C164">
        <v>0.9</v>
      </c>
      <c r="D164">
        <v>0.95</v>
      </c>
      <c r="E164">
        <v>0.99</v>
      </c>
      <c r="F164">
        <v>0.995</v>
      </c>
      <c r="G164">
        <v>0.999</v>
      </c>
    </row>
    <row r="165" spans="1:7" ht="12.75">
      <c r="A165" s="7">
        <v>308802</v>
      </c>
      <c r="B165" s="7">
        <v>378309</v>
      </c>
      <c r="C165" s="7">
        <v>416839</v>
      </c>
      <c r="D165" s="7">
        <v>517794</v>
      </c>
      <c r="E165" s="7">
        <v>673798</v>
      </c>
      <c r="F165" s="7">
        <v>589425</v>
      </c>
      <c r="G165" s="7">
        <v>680192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H. Turner</cp:lastModifiedBy>
  <dcterms:created xsi:type="dcterms:W3CDTF">2003-11-14T02:52:34Z</dcterms:created>
  <dcterms:modified xsi:type="dcterms:W3CDTF">2003-12-28T06:10:39Z</dcterms:modified>
  <cp:category/>
  <cp:version/>
  <cp:contentType/>
  <cp:contentStatus/>
</cp:coreProperties>
</file>