
<file path=[Content_Types].xml><?xml version="1.0" encoding="utf-8"?>
<Types xmlns="http://schemas.openxmlformats.org/package/2006/content-types">
  <Override PartName="/xl/embeddings/oleObject8.bin" ContentType="application/vnd.openxmlformats-officedocument.oleObject"/>
  <Override PartName="/xl/embeddings/oleObject43.bin" ContentType="application/vnd.openxmlformats-officedocument.oleObject"/>
  <Override PartName="/xl/embeddings/oleObject90.bin" ContentType="application/vnd.openxmlformats-officedocument.oleObject"/>
  <Override PartName="/xl/embeddings/oleObject131.bin" ContentType="application/vnd.openxmlformats-officedocument.oleObject"/>
  <Override PartName="/xl/embeddings/oleObject229.bin" ContentType="application/vnd.openxmlformats-officedocument.oleObject"/>
  <Override PartName="/xl/embeddings/oleObject276.bin" ContentType="application/vnd.openxmlformats-officedocument.oleObject"/>
  <Override PartName="/xl/worksheets/sheet13.xml" ContentType="application/vnd.openxmlformats-officedocument.spreadsheetml.worksheet+xml"/>
  <Override PartName="/xl/styles.xml" ContentType="application/vnd.openxmlformats-officedocument.spreadsheetml.styles+xml"/>
  <Override PartName="/xl/embeddings/oleObject21.bin" ContentType="application/vnd.openxmlformats-officedocument.oleObject"/>
  <Override PartName="/xl/embeddings/oleObject399.bin" ContentType="application/vnd.openxmlformats-officedocument.oleObject"/>
  <Override PartName="/xl/embeddings/oleObject415.bin" ContentType="application/vnd.openxmlformats-officedocument.oleObject"/>
  <Override PartName="/xl/embeddings/oleObject462.bin" ContentType="application/vnd.openxmlformats-officedocument.oleObject"/>
  <Override PartName="/xl/embeddings/oleObject207.bin" ContentType="application/vnd.openxmlformats-officedocument.oleObject"/>
  <Override PartName="/xl/embeddings/oleObject254.bin" ContentType="application/vnd.openxmlformats-officedocument.oleObject"/>
  <Override PartName="/xl/embeddings/oleObject440.bin" ContentType="application/vnd.openxmlformats-officedocument.oleObject"/>
  <Default Extension="xml" ContentType="application/xml"/>
  <Override PartName="/xl/embeddings/oleObject232.bin" ContentType="application/vnd.openxmlformats-officedocument.oleObject"/>
  <Override PartName="/xl/embeddings/oleObject377.bin" ContentType="application/vnd.openxmlformats-officedocument.oleObject"/>
  <Override PartName="/xl/embeddings/oleObject169.bin" ContentType="application/vnd.openxmlformats-officedocument.oleObject"/>
  <Override PartName="/xl/embeddings/oleObject308.bin" ContentType="application/vnd.openxmlformats-officedocument.oleObject"/>
  <Override PartName="/xl/embeddings/oleObject355.bin" ContentType="application/vnd.openxmlformats-officedocument.oleObject"/>
  <Override PartName="/xl/embeddings/oleObject59.bin" ContentType="application/vnd.openxmlformats-officedocument.oleObject"/>
  <Override PartName="/xl/embeddings/oleObject147.bin" ContentType="application/vnd.openxmlformats-officedocument.oleObject"/>
  <Override PartName="/xl/embeddings/oleObject194.bin" ContentType="application/vnd.openxmlformats-officedocument.oleObject"/>
  <Override PartName="/xl/embeddings/oleObject210.bin" ContentType="application/vnd.openxmlformats-officedocument.oleObject"/>
  <Override PartName="/xl/embeddings/oleObject478.bin" ContentType="application/vnd.openxmlformats-officedocument.oleObject"/>
  <Override PartName="/xl/embeddings/oleObject37.bin" ContentType="application/vnd.openxmlformats-officedocument.oleObject"/>
  <Override PartName="/xl/embeddings/oleObject84.bin" ContentType="application/vnd.openxmlformats-officedocument.oleObject"/>
  <Override PartName="/xl/embeddings/oleObject333.bin" ContentType="application/vnd.openxmlformats-officedocument.oleObject"/>
  <Override PartName="/xl/embeddings/oleObject380.bin" ContentType="application/vnd.openxmlformats-officedocument.oleObject"/>
  <Override PartName="/xl/embeddings/oleObject125.bin" ContentType="application/vnd.openxmlformats-officedocument.oleObject"/>
  <Override PartName="/xl/embeddings/oleObject172.bin" ContentType="application/vnd.openxmlformats-officedocument.oleObject"/>
  <Override PartName="/xl/embeddings/oleObject311.bin" ContentType="application/vnd.openxmlformats-officedocument.oleObject"/>
  <Override PartName="/xl/embeddings/oleObject409.bin" ContentType="application/vnd.openxmlformats-officedocument.oleObject"/>
  <Override PartName="/xl/embeddings/oleObject456.bin" ContentType="application/vnd.openxmlformats-officedocument.oleObject"/>
  <Override PartName="/xl/embeddings/oleObject15.bin" ContentType="application/vnd.openxmlformats-officedocument.oleObject"/>
  <Override PartName="/xl/embeddings/oleObject62.bin" ContentType="application/vnd.openxmlformats-officedocument.oleObject"/>
  <Override PartName="/xl/embeddings/oleObject103.bin" ContentType="application/vnd.openxmlformats-officedocument.oleObject"/>
  <Override PartName="/xl/embeddings/oleObject150.bin" ContentType="application/vnd.openxmlformats-officedocument.oleObject"/>
  <Override PartName="/xl/embeddings/oleObject248.bin" ContentType="application/vnd.openxmlformats-officedocument.oleObject"/>
  <Override PartName="/xl/embeddings/oleObject295.bin" ContentType="application/vnd.openxmlformats-officedocument.oleObject"/>
  <Override PartName="/xl/embeddings/oleObject5.bin" ContentType="application/vnd.openxmlformats-officedocument.oleObject"/>
  <Override PartName="/xl/embeddings/oleObject40.bin" ContentType="application/vnd.openxmlformats-officedocument.oleObject"/>
  <Override PartName="/xl/drawings/drawing7.xml" ContentType="application/vnd.openxmlformats-officedocument.drawing+xml"/>
  <Override PartName="/xl/embeddings/oleObject434.bin" ContentType="application/vnd.openxmlformats-officedocument.oleObject"/>
  <Override PartName="/xl/embeddings/oleObject481.bin" ContentType="application/vnd.openxmlformats-officedocument.oleObject"/>
  <Override PartName="/xl/worksheets/sheet8.xml" ContentType="application/vnd.openxmlformats-officedocument.spreadsheetml.worksheet+xml"/>
  <Default Extension="emf" ContentType="image/x-emf"/>
  <Override PartName="/xl/embeddings/oleObject226.bin" ContentType="application/vnd.openxmlformats-officedocument.oleObject"/>
  <Override PartName="/xl/embeddings/oleObject273.bin" ContentType="application/vnd.openxmlformats-officedocument.oleObject"/>
  <Override PartName="/xl/embeddings/oleObject412.bin" ContentType="application/vnd.openxmlformats-officedocument.oleObject"/>
  <Override PartName="/xl/worksheets/sheet10.xml" ContentType="application/vnd.openxmlformats-officedocument.spreadsheetml.worksheet+xml"/>
  <Override PartName="/xl/embeddings/oleObject204.bin" ContentType="application/vnd.openxmlformats-officedocument.oleObject"/>
  <Override PartName="/xl/embeddings/oleObject251.bin" ContentType="application/vnd.openxmlformats-officedocument.oleObject"/>
  <Override PartName="/xl/embeddings/oleObject349.bin" ContentType="application/vnd.openxmlformats-officedocument.oleObject"/>
  <Override PartName="/xl/embeddings/oleObject396.bin" ContentType="application/vnd.openxmlformats-officedocument.oleObject"/>
  <Override PartName="/xl/embeddings/oleObject188.bin" ContentType="application/vnd.openxmlformats-officedocument.oleObject"/>
  <Override PartName="/xl/embeddings/oleObject327.bin" ContentType="application/vnd.openxmlformats-officedocument.oleObject"/>
  <Override PartName="/xl/embeddings/oleObject374.bin" ContentType="application/vnd.openxmlformats-officedocument.oleObject"/>
  <Override PartName="/xl/embeddings/oleObject78.bin" ContentType="application/vnd.openxmlformats-officedocument.oleObject"/>
  <Override PartName="/xl/embeddings/oleObject119.bin" ContentType="application/vnd.openxmlformats-officedocument.oleObject"/>
  <Override PartName="/xl/embeddings/oleObject166.bin" ContentType="application/vnd.openxmlformats-officedocument.oleObject"/>
  <Override PartName="/xl/embeddings/oleObject497.bin" ContentType="application/vnd.openxmlformats-officedocument.oleObject"/>
  <Override PartName="/xl/calcChain.xml" ContentType="application/vnd.openxmlformats-officedocument.spreadsheetml.calcChain+xml"/>
  <Override PartName="/xl/embeddings/oleObject56.bin" ContentType="application/vnd.openxmlformats-officedocument.oleObject"/>
  <Override PartName="/xl/embeddings/oleObject289.bin" ContentType="application/vnd.openxmlformats-officedocument.oleObject"/>
  <Override PartName="/xl/embeddings/oleObject305.bin" ContentType="application/vnd.openxmlformats-officedocument.oleObject"/>
  <Override PartName="/xl/embeddings/oleObject352.bin" ContentType="application/vnd.openxmlformats-officedocument.oleObject"/>
  <Override PartName="/xl/embeddings/oleObject144.bin" ContentType="application/vnd.openxmlformats-officedocument.oleObject"/>
  <Override PartName="/xl/embeddings/oleObject191.bin" ContentType="application/vnd.openxmlformats-officedocument.oleObject"/>
  <Override PartName="/xl/embeddings/oleObject330.bin" ContentType="application/vnd.openxmlformats-officedocument.oleObject"/>
  <Override PartName="/xl/embeddings/oleObject428.bin" ContentType="application/vnd.openxmlformats-officedocument.oleObject"/>
  <Override PartName="/xl/embeddings/oleObject475.bin" ContentType="application/vnd.openxmlformats-officedocument.oleObject"/>
  <Override PartName="/xl/embeddings/oleObject34.bin" ContentType="application/vnd.openxmlformats-officedocument.oleObject"/>
  <Override PartName="/xl/embeddings/oleObject81.bin" ContentType="application/vnd.openxmlformats-officedocument.oleObject"/>
  <Override PartName="/xl/embeddings/oleObject122.bin" ContentType="application/vnd.openxmlformats-officedocument.oleObject"/>
  <Override PartName="/xl/embeddings/oleObject267.bin" ContentType="application/vnd.openxmlformats-officedocument.oleObject"/>
  <Override PartName="/xl/embeddings/oleObject406.bin" ContentType="application/vnd.openxmlformats-officedocument.oleObject"/>
  <Override PartName="/xl/embeddings/oleObject453.bin" ContentType="application/vnd.openxmlformats-officedocument.oleObject"/>
  <Override PartName="/xl/embeddings/oleObject12.bin" ContentType="application/vnd.openxmlformats-officedocument.oleObject"/>
  <Override PartName="/xl/embeddings/oleObject245.bin" ContentType="application/vnd.openxmlformats-officedocument.oleObject"/>
  <Override PartName="/xl/embeddings/oleObject292.bin" ContentType="application/vnd.openxmlformats-officedocument.oleObject"/>
  <Override PartName="/xl/drawings/drawing4.xml" ContentType="application/vnd.openxmlformats-officedocument.drawing+xml"/>
  <Override PartName="/xl/embeddings/oleObject100.bin" ContentType="application/vnd.openxmlformats-officedocument.oleObject"/>
  <Override PartName="/xl/embeddings/oleObject431.bin" ContentType="application/vnd.openxmlformats-officedocument.oleObject"/>
  <Override PartName="/xl/worksheets/sheet5.xml" ContentType="application/vnd.openxmlformats-officedocument.spreadsheetml.worksheet+xml"/>
  <Override PartName="/xl/embeddings/oleObject2.bin" ContentType="application/vnd.openxmlformats-officedocument.oleObject"/>
  <Override PartName="/xl/embeddings/oleObject223.bin" ContentType="application/vnd.openxmlformats-officedocument.oleObject"/>
  <Override PartName="/xl/embeddings/oleObject270.bin" ContentType="application/vnd.openxmlformats-officedocument.oleObject"/>
  <Override PartName="/xl/embeddings/oleObject368.bin" ContentType="application/vnd.openxmlformats-officedocument.oleObject"/>
  <Override PartName="/xl/embeddings/oleObject507.bin" ContentType="application/vnd.openxmlformats-officedocument.oleObject"/>
  <Override PartName="/xl/embeddings/oleObject201.bin" ContentType="application/vnd.openxmlformats-officedocument.oleObject"/>
  <Override PartName="/xl/embeddings/oleObject346.bin" ContentType="application/vnd.openxmlformats-officedocument.oleObject"/>
  <Override PartName="/xl/embeddings/oleObject393.bin" ContentType="application/vnd.openxmlformats-officedocument.oleObject"/>
  <Override PartName="/xl/embeddings/oleObject97.bin" ContentType="application/vnd.openxmlformats-officedocument.oleObject"/>
  <Override PartName="/xl/embeddings/oleObject138.bin" ContentType="application/vnd.openxmlformats-officedocument.oleObject"/>
  <Override PartName="/xl/embeddings/oleObject185.bin" ContentType="application/vnd.openxmlformats-officedocument.oleObject"/>
  <Override PartName="/xl/embeddings/oleObject469.bin" ContentType="application/vnd.openxmlformats-officedocument.oleObject"/>
  <Override PartName="/xl/embeddings/oleObject28.bin" ContentType="application/vnd.openxmlformats-officedocument.oleObject"/>
  <Override PartName="/xl/embeddings/oleObject75.bin" ContentType="application/vnd.openxmlformats-officedocument.oleObject"/>
  <Override PartName="/xl/embeddings/oleObject324.bin" ContentType="application/vnd.openxmlformats-officedocument.oleObject"/>
  <Override PartName="/xl/embeddings/oleObject371.bin" ContentType="application/vnd.openxmlformats-officedocument.oleObject"/>
  <Override PartName="/xl/embeddings/oleObject116.bin" ContentType="application/vnd.openxmlformats-officedocument.oleObject"/>
  <Override PartName="/xl/embeddings/oleObject163.bin" ContentType="application/vnd.openxmlformats-officedocument.oleObject"/>
  <Override PartName="/xl/embeddings/oleObject302.bin" ContentType="application/vnd.openxmlformats-officedocument.oleObject"/>
  <Override PartName="/xl/embeddings/oleObject447.bin" ContentType="application/vnd.openxmlformats-officedocument.oleObject"/>
  <Override PartName="/xl/embeddings/oleObject494.bin" ContentType="application/vnd.openxmlformats-officedocument.oleObject"/>
  <Override PartName="/xl/embeddings/oleObject53.bin" ContentType="application/vnd.openxmlformats-officedocument.oleObject"/>
  <Override PartName="/xl/embeddings/oleObject141.bin" ContentType="application/vnd.openxmlformats-officedocument.oleObject"/>
  <Override PartName="/xl/embeddings/oleObject239.bin" ContentType="application/vnd.openxmlformats-officedocument.oleObject"/>
  <Override PartName="/xl/embeddings/oleObject286.bin" ContentType="application/vnd.openxmlformats-officedocument.oleObject"/>
  <Override PartName="/xl/embeddings/oleObject425.bin" ContentType="application/vnd.openxmlformats-officedocument.oleObject"/>
  <Override PartName="/xl/embeddings/oleObject472.bin" ContentType="application/vnd.openxmlformats-officedocument.oleObject"/>
  <Override PartName="/xl/embeddings/oleObject31.bin" ContentType="application/vnd.openxmlformats-officedocument.oleObject"/>
  <Override PartName="/xl/embeddings/oleObject217.bin" ContentType="application/vnd.openxmlformats-officedocument.oleObject"/>
  <Override PartName="/xl/embeddings/oleObject264.bin" ContentType="application/vnd.openxmlformats-officedocument.oleObject"/>
  <Override PartName="/xl/embeddings/oleObject387.bin" ContentType="application/vnd.openxmlformats-officedocument.oleObject"/>
  <Override PartName="/xl/embeddings/oleObject403.bin" ContentType="application/vnd.openxmlformats-officedocument.oleObject"/>
  <Override PartName="/xl/embeddings/oleObject450.bin" ContentType="application/vnd.openxmlformats-officedocument.oleObject"/>
  <Override PartName="/xl/embeddings/oleObject179.bin" ContentType="application/vnd.openxmlformats-officedocument.oleObject"/>
  <Override PartName="/xl/embeddings/oleObject242.bin" ContentType="application/vnd.openxmlformats-officedocument.oleObject"/>
  <Override PartName="/xl/worksheets/sheet2.xml" ContentType="application/vnd.openxmlformats-officedocument.spreadsheetml.worksheet+xml"/>
  <Override PartName="/xl/drawings/drawing1.xml" ContentType="application/vnd.openxmlformats-officedocument.drawing+xml"/>
  <Override PartName="/xl/embeddings/oleObject69.bin" ContentType="application/vnd.openxmlformats-officedocument.oleObject"/>
  <Override PartName="/xl/embeddings/oleObject220.bin" ContentType="application/vnd.openxmlformats-officedocument.oleObject"/>
  <Override PartName="/xl/embeddings/oleObject318.bin" ContentType="application/vnd.openxmlformats-officedocument.oleObject"/>
  <Override PartName="/xl/embeddings/oleObject365.bin" ContentType="application/vnd.openxmlformats-officedocument.oleObject"/>
  <Override PartName="/xl/embeddings/oleObject58.bin" ContentType="application/vnd.openxmlformats-officedocument.oleObject"/>
  <Override PartName="/xl/embeddings/oleObject157.bin" ContentType="application/vnd.openxmlformats-officedocument.oleObject"/>
  <Override PartName="/xl/embeddings/oleObject307.bin" ContentType="application/vnd.openxmlformats-officedocument.oleObject"/>
  <Override PartName="/xl/embeddings/oleObject354.bin" ContentType="application/vnd.openxmlformats-officedocument.oleObject"/>
  <Override PartName="/xl/embeddings/oleObject488.bin" ContentType="application/vnd.openxmlformats-officedocument.oleObject"/>
  <Override PartName="/xl/embeddings/oleObject504.bin" ContentType="application/vnd.openxmlformats-officedocument.oleObject"/>
  <Override PartName="/xl/embeddings/oleObject47.bin" ContentType="application/vnd.openxmlformats-officedocument.oleObject"/>
  <Override PartName="/xl/embeddings/oleObject94.bin" ContentType="application/vnd.openxmlformats-officedocument.oleObject"/>
  <Override PartName="/xl/embeddings/oleObject146.bin" ContentType="application/vnd.openxmlformats-officedocument.oleObject"/>
  <Override PartName="/xl/embeddings/oleObject193.bin" ContentType="application/vnd.openxmlformats-officedocument.oleObject"/>
  <Override PartName="/xl/embeddings/oleObject332.bin" ContentType="application/vnd.openxmlformats-officedocument.oleObject"/>
  <Override PartName="/xl/embeddings/oleObject343.bin" ContentType="application/vnd.openxmlformats-officedocument.oleObject"/>
  <Override PartName="/xl/embeddings/oleObject390.bin" ContentType="application/vnd.openxmlformats-officedocument.oleObject"/>
  <Override PartName="/xl/embeddings/oleObject477.bin" ContentType="application/vnd.openxmlformats-officedocument.oleObject"/>
  <Override PartName="/xl/worksheets/sheet17.xml" ContentType="application/vnd.openxmlformats-officedocument.spreadsheetml.worksheet+xml"/>
  <Override PartName="/xl/embeddings/oleObject25.bin" ContentType="application/vnd.openxmlformats-officedocument.oleObject"/>
  <Override PartName="/xl/embeddings/oleObject36.bin" ContentType="application/vnd.openxmlformats-officedocument.oleObject"/>
  <Override PartName="/xl/embeddings/oleObject72.bin" ContentType="application/vnd.openxmlformats-officedocument.oleObject"/>
  <Override PartName="/xl/embeddings/oleObject83.bin" ContentType="application/vnd.openxmlformats-officedocument.oleObject"/>
  <Override PartName="/xl/embeddings/oleObject124.bin" ContentType="application/vnd.openxmlformats-officedocument.oleObject"/>
  <Override PartName="/xl/embeddings/oleObject135.bin" ContentType="application/vnd.openxmlformats-officedocument.oleObject"/>
  <Override PartName="/xl/embeddings/oleObject171.bin" ContentType="application/vnd.openxmlformats-officedocument.oleObject"/>
  <Override PartName="/xl/embeddings/oleObject182.bin" ContentType="application/vnd.openxmlformats-officedocument.oleObject"/>
  <Override PartName="/xl/embeddings/oleObject269.bin" ContentType="application/vnd.openxmlformats-officedocument.oleObject"/>
  <Override PartName="/xl/embeddings/oleObject321.bin" ContentType="application/vnd.openxmlformats-officedocument.oleObject"/>
  <Override PartName="/xl/embeddings/oleObject408.bin" ContentType="application/vnd.openxmlformats-officedocument.oleObject"/>
  <Override PartName="/xl/embeddings/oleObject419.bin" ContentType="application/vnd.openxmlformats-officedocument.oleObject"/>
  <Override PartName="/xl/embeddings/oleObject455.bin" ContentType="application/vnd.openxmlformats-officedocument.oleObject"/>
  <Override PartName="/xl/embeddings/oleObject466.bin" ContentType="application/vnd.openxmlformats-officedocument.oleObject"/>
  <Override PartName="/xl/embeddings/oleObject14.bin" ContentType="application/vnd.openxmlformats-officedocument.oleObject"/>
  <Override PartName="/xl/embeddings/oleObject61.bin" ContentType="application/vnd.openxmlformats-officedocument.oleObject"/>
  <Override PartName="/xl/embeddings/oleObject113.bin" ContentType="application/vnd.openxmlformats-officedocument.oleObject"/>
  <Override PartName="/xl/embeddings/oleObject160.bin" ContentType="application/vnd.openxmlformats-officedocument.oleObject"/>
  <Override PartName="/xl/embeddings/oleObject247.bin" ContentType="application/vnd.openxmlformats-officedocument.oleObject"/>
  <Override PartName="/xl/embeddings/oleObject258.bin" ContentType="application/vnd.openxmlformats-officedocument.oleObject"/>
  <Override PartName="/xl/embeddings/oleObject294.bin" ContentType="application/vnd.openxmlformats-officedocument.oleObject"/>
  <Override PartName="/xl/embeddings/oleObject310.bin" ContentType="application/vnd.openxmlformats-officedocument.oleObject"/>
  <Override PartName="/xl/embeddings/oleObject444.bin" ContentType="application/vnd.openxmlformats-officedocument.oleObject"/>
  <Override PartName="/xl/embeddings/oleObject491.bin" ContentType="application/vnd.openxmlformats-officedocument.oleObject"/>
  <Override PartName="/xl/embeddings/oleObject50.bin" ContentType="application/vnd.openxmlformats-officedocument.oleObject"/>
  <Override PartName="/xl/embeddings/oleObject102.bin" ContentType="application/vnd.openxmlformats-officedocument.oleObject"/>
  <Override PartName="/xl/drawings/drawing6.xml" ContentType="application/vnd.openxmlformats-officedocument.drawing+xml"/>
  <Override PartName="/xl/embeddings/oleObject236.bin" ContentType="application/vnd.openxmlformats-officedocument.oleObject"/>
  <Override PartName="/xl/embeddings/oleObject283.bin" ContentType="application/vnd.openxmlformats-officedocument.oleObject"/>
  <Override PartName="/xl/embeddings/oleObject433.bin" ContentType="application/vnd.openxmlformats-officedocument.oleObject"/>
  <Override PartName="/xl/embeddings/oleObject480.bin" ContentType="application/vnd.openxmlformats-officedocument.oleObject"/>
  <Override PartName="/xl/worksheets/sheet7.xml" ContentType="application/vnd.openxmlformats-officedocument.spreadsheetml.worksheet+xml"/>
  <Override PartName="/xl/worksheets/sheet20.xml" ContentType="application/vnd.openxmlformats-officedocument.spreadsheetml.worksheet+xml"/>
  <Override PartName="/xl/embeddings/oleObject4.bin" ContentType="application/vnd.openxmlformats-officedocument.oleObject"/>
  <Override PartName="/xl/embeddings/oleObject225.bin" ContentType="application/vnd.openxmlformats-officedocument.oleObject"/>
  <Override PartName="/xl/embeddings/oleObject272.bin" ContentType="application/vnd.openxmlformats-officedocument.oleObject"/>
  <Override PartName="/xl/embeddings/oleObject359.bin" ContentType="application/vnd.openxmlformats-officedocument.oleObject"/>
  <Override PartName="/xl/embeddings/oleObject422.bin" ContentType="application/vnd.openxmlformats-officedocument.oleObject"/>
  <Override PartName="/xl/embeddings/oleObject509.bin" ContentType="application/vnd.openxmlformats-officedocument.oleObject"/>
  <Override PartName="/xl/embeddings/oleObject198.bin" ContentType="application/vnd.openxmlformats-officedocument.oleObject"/>
  <Override PartName="/xl/embeddings/oleObject214.bin" ContentType="application/vnd.openxmlformats-officedocument.oleObject"/>
  <Override PartName="/xl/embeddings/oleObject261.bin" ContentType="application/vnd.openxmlformats-officedocument.oleObject"/>
  <Override PartName="/xl/embeddings/oleObject348.bin" ContentType="application/vnd.openxmlformats-officedocument.oleObject"/>
  <Override PartName="/xl/embeddings/oleObject395.bin" ContentType="application/vnd.openxmlformats-officedocument.oleObject"/>
  <Override PartName="/xl/embeddings/oleObject400.bin" ContentType="application/vnd.openxmlformats-officedocument.oleObject"/>
  <Override PartName="/xl/embeddings/oleObject411.bin" ContentType="application/vnd.openxmlformats-officedocument.oleObject"/>
  <Override PartName="/xl/embeddings/oleObject88.bin" ContentType="application/vnd.openxmlformats-officedocument.oleObject"/>
  <Override PartName="/xl/embeddings/oleObject99.bin" ContentType="application/vnd.openxmlformats-officedocument.oleObject"/>
  <Override PartName="/xl/embeddings/oleObject187.bin" ContentType="application/vnd.openxmlformats-officedocument.oleObject"/>
  <Override PartName="/xl/embeddings/oleObject203.bin" ContentType="application/vnd.openxmlformats-officedocument.oleObject"/>
  <Override PartName="/xl/embeddings/oleObject250.bin" ContentType="application/vnd.openxmlformats-officedocument.oleObject"/>
  <Override PartName="/xl/embeddings/oleObject337.bin" ContentType="application/vnd.openxmlformats-officedocument.oleObject"/>
  <Override PartName="/xl/embeddings/oleObject384.bin" ContentType="application/vnd.openxmlformats-officedocument.oleObject"/>
  <Override PartName="/xl/embeddings/oleObject77.bin" ContentType="application/vnd.openxmlformats-officedocument.oleObject"/>
  <Override PartName="/xl/embeddings/oleObject129.bin" ContentType="application/vnd.openxmlformats-officedocument.oleObject"/>
  <Override PartName="/xl/embeddings/oleObject176.bin" ContentType="application/vnd.openxmlformats-officedocument.oleObject"/>
  <Override PartName="/xl/embeddings/oleObject315.bin" ContentType="application/vnd.openxmlformats-officedocument.oleObject"/>
  <Override PartName="/xl/embeddings/oleObject326.bin" ContentType="application/vnd.openxmlformats-officedocument.oleObject"/>
  <Override PartName="/xl/embeddings/oleObject362.bin" ContentType="application/vnd.openxmlformats-officedocument.oleObject"/>
  <Override PartName="/xl/embeddings/oleObject373.bin" ContentType="application/vnd.openxmlformats-officedocument.oleObject"/>
  <Override PartName="/xl/sharedStrings.xml" ContentType="application/vnd.openxmlformats-officedocument.spreadsheetml.sharedStrings+xml"/>
  <Override PartName="/xl/embeddings/oleObject19.bin" ContentType="application/vnd.openxmlformats-officedocument.oleObject"/>
  <Override PartName="/xl/embeddings/oleObject66.bin" ContentType="application/vnd.openxmlformats-officedocument.oleObject"/>
  <Override PartName="/xl/embeddings/oleObject107.bin" ContentType="application/vnd.openxmlformats-officedocument.oleObject"/>
  <Override PartName="/xl/embeddings/oleObject118.bin" ContentType="application/vnd.openxmlformats-officedocument.oleObject"/>
  <Override PartName="/xl/embeddings/oleObject154.bin" ContentType="application/vnd.openxmlformats-officedocument.oleObject"/>
  <Override PartName="/xl/embeddings/oleObject165.bin" ContentType="application/vnd.openxmlformats-officedocument.oleObject"/>
  <Override PartName="/xl/embeddings/oleObject299.bin" ContentType="application/vnd.openxmlformats-officedocument.oleObject"/>
  <Override PartName="/xl/embeddings/oleObject304.bin" ContentType="application/vnd.openxmlformats-officedocument.oleObject"/>
  <Override PartName="/xl/embeddings/oleObject351.bin" ContentType="application/vnd.openxmlformats-officedocument.oleObject"/>
  <Override PartName="/xl/embeddings/oleObject449.bin" ContentType="application/vnd.openxmlformats-officedocument.oleObject"/>
  <Override PartName="/xl/embeddings/oleObject496.bin" ContentType="application/vnd.openxmlformats-officedocument.oleObject"/>
  <Override PartName="/xl/embeddings/oleObject501.bin" ContentType="application/vnd.openxmlformats-officedocument.oleObject"/>
  <Override PartName="/xl/embeddings/oleObject9.bin" ContentType="application/vnd.openxmlformats-officedocument.oleObject"/>
  <Override PartName="/xl/embeddings/oleObject44.bin" ContentType="application/vnd.openxmlformats-officedocument.oleObject"/>
  <Override PartName="/xl/embeddings/oleObject55.bin" ContentType="application/vnd.openxmlformats-officedocument.oleObject"/>
  <Override PartName="/xl/embeddings/oleObject91.bin" ContentType="application/vnd.openxmlformats-officedocument.oleObject"/>
  <Override PartName="/xl/embeddings/oleObject143.bin" ContentType="application/vnd.openxmlformats-officedocument.oleObject"/>
  <Override PartName="/xl/embeddings/oleObject190.bin" ContentType="application/vnd.openxmlformats-officedocument.oleObject"/>
  <Override PartName="/xl/embeddings/oleObject288.bin" ContentType="application/vnd.openxmlformats-officedocument.oleObject"/>
  <Override PartName="/xl/embeddings/oleObject340.bin" ContentType="application/vnd.openxmlformats-officedocument.oleObject"/>
  <Override PartName="/xl/embeddings/oleObject427.bin" ContentType="application/vnd.openxmlformats-officedocument.oleObject"/>
  <Override PartName="/xl/embeddings/oleObject438.bin" ContentType="application/vnd.openxmlformats-officedocument.oleObject"/>
  <Override PartName="/xl/embeddings/oleObject474.bin" ContentType="application/vnd.openxmlformats-officedocument.oleObject"/>
  <Override PartName="/xl/embeddings/oleObject485.bin" ContentType="application/vnd.openxmlformats-officedocument.oleObject"/>
  <Default Extension="bin" ContentType="application/vnd.openxmlformats-officedocument.spreadsheetml.printerSettings"/>
  <Override PartName="/xl/embeddings/oleObject33.bin" ContentType="application/vnd.openxmlformats-officedocument.oleObject"/>
  <Override PartName="/xl/embeddings/oleObject80.bin" ContentType="application/vnd.openxmlformats-officedocument.oleObject"/>
  <Override PartName="/xl/embeddings/oleObject132.bin" ContentType="application/vnd.openxmlformats-officedocument.oleObject"/>
  <Override PartName="/xl/embeddings/oleObject219.bin" ContentType="application/vnd.openxmlformats-officedocument.oleObject"/>
  <Override PartName="/xl/embeddings/oleObject266.bin" ContentType="application/vnd.openxmlformats-officedocument.oleObject"/>
  <Override PartName="/xl/embeddings/oleObject277.bin" ContentType="application/vnd.openxmlformats-officedocument.oleObject"/>
  <Override PartName="/xl/embeddings/oleObject416.bin" ContentType="application/vnd.openxmlformats-officedocument.oleObject"/>
  <Override PartName="/xl/embeddings/oleObject463.bin" ContentType="application/vnd.openxmlformats-officedocument.oleObject"/>
  <Override PartName="/xl/worksheets/sheet14.xml" ContentType="application/vnd.openxmlformats-officedocument.spreadsheetml.worksheet+xml"/>
  <Override PartName="/xl/embeddings/oleObject22.bin" ContentType="application/vnd.openxmlformats-officedocument.oleObject"/>
  <Override PartName="/xl/embeddings/oleObject110.bin" ContentType="application/vnd.openxmlformats-officedocument.oleObject"/>
  <Override PartName="/xl/embeddings/oleObject121.bin" ContentType="application/vnd.openxmlformats-officedocument.oleObject"/>
  <Override PartName="/xl/embeddings/oleObject208.bin" ContentType="application/vnd.openxmlformats-officedocument.oleObject"/>
  <Override PartName="/xl/embeddings/oleObject255.bin" ContentType="application/vnd.openxmlformats-officedocument.oleObject"/>
  <Override PartName="/xl/embeddings/oleObject405.bin" ContentType="application/vnd.openxmlformats-officedocument.oleObject"/>
  <Override PartName="/xl/embeddings/oleObject452.bin" ContentType="application/vnd.openxmlformats-officedocument.oleObject"/>
  <Override PartName="/xl/embeddings/oleObject11.bin" ContentType="application/vnd.openxmlformats-officedocument.oleObject"/>
  <Override PartName="/xl/embeddings/oleObject244.bin" ContentType="application/vnd.openxmlformats-officedocument.oleObject"/>
  <Override PartName="/xl/embeddings/oleObject291.bin" ContentType="application/vnd.openxmlformats-officedocument.oleObject"/>
  <Override PartName="/xl/embeddings/oleObject378.bin" ContentType="application/vnd.openxmlformats-officedocument.oleObject"/>
  <Override PartName="/xl/embeddings/oleObject389.bin" ContentType="application/vnd.openxmlformats-officedocument.oleObject"/>
  <Override PartName="/xl/embeddings/oleObject430.bin" ContentType="application/vnd.openxmlformats-officedocument.oleObject"/>
  <Override PartName="/xl/embeddings/oleObject441.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xl/embeddings/oleObject222.bin" ContentType="application/vnd.openxmlformats-officedocument.oleObject"/>
  <Override PartName="/xl/embeddings/oleObject233.bin" ContentType="application/vnd.openxmlformats-officedocument.oleObject"/>
  <Override PartName="/xl/embeddings/oleObject280.bin" ContentType="application/vnd.openxmlformats-officedocument.oleObject"/>
  <Override PartName="/xl/embeddings/oleObject367.bin" ContentType="application/vnd.openxmlformats-officedocument.oleObject"/>
  <Override PartName="/xl/embeddings/oleObject159.bin" ContentType="application/vnd.openxmlformats-officedocument.oleObject"/>
  <Override PartName="/xl/embeddings/oleObject211.bin" ContentType="application/vnd.openxmlformats-officedocument.oleObject"/>
  <Override PartName="/xl/embeddings/oleObject309.bin" ContentType="application/vnd.openxmlformats-officedocument.oleObject"/>
  <Override PartName="/xl/embeddings/oleObject356.bin" ContentType="application/vnd.openxmlformats-officedocument.oleObject"/>
  <Override PartName="/xl/embeddings/oleObject506.bin" ContentType="application/vnd.openxmlformats-officedocument.oleObject"/>
  <Default Extension="vml" ContentType="application/vnd.openxmlformats-officedocument.vmlDrawing"/>
  <Override PartName="/xl/comments1.xml" ContentType="application/vnd.openxmlformats-officedocument.spreadsheetml.comments+xml"/>
  <Override PartName="/xl/embeddings/oleObject49.bin" ContentType="application/vnd.openxmlformats-officedocument.oleObject"/>
  <Override PartName="/xl/embeddings/oleObject96.bin" ContentType="application/vnd.openxmlformats-officedocument.oleObject"/>
  <Override PartName="/xl/embeddings/oleObject148.bin" ContentType="application/vnd.openxmlformats-officedocument.oleObject"/>
  <Override PartName="/xl/embeddings/oleObject195.bin" ContentType="application/vnd.openxmlformats-officedocument.oleObject"/>
  <Override PartName="/xl/embeddings/oleObject200.bin" ContentType="application/vnd.openxmlformats-officedocument.oleObject"/>
  <Override PartName="/xl/embeddings/oleObject334.bin" ContentType="application/vnd.openxmlformats-officedocument.oleObject"/>
  <Override PartName="/xl/embeddings/oleObject345.bin" ContentType="application/vnd.openxmlformats-officedocument.oleObject"/>
  <Override PartName="/xl/embeddings/oleObject381.bin" ContentType="application/vnd.openxmlformats-officedocument.oleObject"/>
  <Override PartName="/xl/embeddings/oleObject392.bin" ContentType="application/vnd.openxmlformats-officedocument.oleObject"/>
  <Override PartName="/xl/embeddings/oleObject479.bin" ContentType="application/vnd.openxmlformats-officedocument.oleObject"/>
  <Override PartName="/xl/worksheets/sheet19.xml" ContentType="application/vnd.openxmlformats-officedocument.spreadsheetml.worksheet+xml"/>
  <Override PartName="/xl/embeddings/oleObject38.bin" ContentType="application/vnd.openxmlformats-officedocument.oleObject"/>
  <Override PartName="/xl/embeddings/oleObject85.bin" ContentType="application/vnd.openxmlformats-officedocument.oleObject"/>
  <Override PartName="/xl/embeddings/oleObject126.bin" ContentType="application/vnd.openxmlformats-officedocument.oleObject"/>
  <Override PartName="/xl/embeddings/oleObject137.bin" ContentType="application/vnd.openxmlformats-officedocument.oleObject"/>
  <Override PartName="/xl/embeddings/oleObject173.bin" ContentType="application/vnd.openxmlformats-officedocument.oleObject"/>
  <Override PartName="/xl/embeddings/oleObject184.bin" ContentType="application/vnd.openxmlformats-officedocument.oleObject"/>
  <Override PartName="/xl/embeddings/oleObject323.bin" ContentType="application/vnd.openxmlformats-officedocument.oleObject"/>
  <Override PartName="/xl/embeddings/oleObject370.bin" ContentType="application/vnd.openxmlformats-officedocument.oleObject"/>
  <Override PartName="/xl/embeddings/oleObject468.bin" ContentType="application/vnd.openxmlformats-officedocument.oleObject"/>
  <Override PartName="/xl/embeddings/oleObject16.bin" ContentType="application/vnd.openxmlformats-officedocument.oleObject"/>
  <Override PartName="/xl/embeddings/oleObject27.bin" ContentType="application/vnd.openxmlformats-officedocument.oleObject"/>
  <Override PartName="/xl/embeddings/oleObject63.bin" ContentType="application/vnd.openxmlformats-officedocument.oleObject"/>
  <Override PartName="/xl/embeddings/oleObject74.bin" ContentType="application/vnd.openxmlformats-officedocument.oleObject"/>
  <Override PartName="/xl/embeddings/oleObject115.bin" ContentType="application/vnd.openxmlformats-officedocument.oleObject"/>
  <Override PartName="/xl/embeddings/oleObject162.bin" ContentType="application/vnd.openxmlformats-officedocument.oleObject"/>
  <Override PartName="/xl/embeddings/oleObject312.bin" ContentType="application/vnd.openxmlformats-officedocument.oleObject"/>
  <Override PartName="/xl/embeddings/oleObject446.bin" ContentType="application/vnd.openxmlformats-officedocument.oleObject"/>
  <Override PartName="/xl/embeddings/oleObject457.bin" ContentType="application/vnd.openxmlformats-officedocument.oleObject"/>
  <Override PartName="/xl/embeddings/oleObject493.bin" ContentType="application/vnd.openxmlformats-officedocument.oleObject"/>
  <Override PartName="/docProps/core.xml" ContentType="application/vnd.openxmlformats-package.core-properties+xml"/>
  <Override PartName="/xl/embeddings/oleObject52.bin" ContentType="application/vnd.openxmlformats-officedocument.oleObject"/>
  <Override PartName="/xl/embeddings/oleObject104.bin" ContentType="application/vnd.openxmlformats-officedocument.oleObject"/>
  <Override PartName="/xl/embeddings/oleObject151.bin" ContentType="application/vnd.openxmlformats-officedocument.oleObject"/>
  <Override PartName="/xl/embeddings/oleObject238.bin" ContentType="application/vnd.openxmlformats-officedocument.oleObject"/>
  <Override PartName="/xl/embeddings/oleObject249.bin" ContentType="application/vnd.openxmlformats-officedocument.oleObject"/>
  <Override PartName="/xl/embeddings/oleObject285.bin" ContentType="application/vnd.openxmlformats-officedocument.oleObject"/>
  <Override PartName="/xl/embeddings/oleObject296.bin" ContentType="application/vnd.openxmlformats-officedocument.oleObject"/>
  <Override PartName="/xl/embeddings/oleObject301.bin" ContentType="application/vnd.openxmlformats-officedocument.oleObject"/>
  <Override PartName="/xl/embeddings/oleObject435.bin" ContentType="application/vnd.openxmlformats-officedocument.oleObject"/>
  <Override PartName="/xl/embeddings/oleObject482.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embeddings/oleObject6.bin" ContentType="application/vnd.openxmlformats-officedocument.oleObject"/>
  <Override PartName="/xl/embeddings/oleObject41.bin" ContentType="application/vnd.openxmlformats-officedocument.oleObject"/>
  <Override PartName="/xl/embeddings/oleObject140.bin" ContentType="application/vnd.openxmlformats-officedocument.oleObject"/>
  <Override PartName="/xl/embeddings/oleObject227.bin" ContentType="application/vnd.openxmlformats-officedocument.oleObject"/>
  <Override PartName="/xl/embeddings/oleObject274.bin" ContentType="application/vnd.openxmlformats-officedocument.oleObject"/>
  <Override PartName="/xl/drawings/drawing8.xml" ContentType="application/vnd.openxmlformats-officedocument.drawing+xml"/>
  <Override PartName="/xl/embeddings/oleObject424.bin" ContentType="application/vnd.openxmlformats-officedocument.oleObject"/>
  <Override PartName="/xl/embeddings/oleObject471.bin" ContentType="application/vnd.openxmlformats-officedocument.oleObject"/>
  <Override PartName="/xl/worksheets/sheet11.xml" ContentType="application/vnd.openxmlformats-officedocument.spreadsheetml.worksheet+xml"/>
  <Override PartName="/xl/embeddings/oleObject30.bin" ContentType="application/vnd.openxmlformats-officedocument.oleObject"/>
  <Override PartName="/xl/embeddings/oleObject216.bin" ContentType="application/vnd.openxmlformats-officedocument.oleObject"/>
  <Override PartName="/xl/embeddings/oleObject263.bin" ContentType="application/vnd.openxmlformats-officedocument.oleObject"/>
  <Override PartName="/xl/embeddings/oleObject397.bin" ContentType="application/vnd.openxmlformats-officedocument.oleObject"/>
  <Override PartName="/xl/embeddings/oleObject402.bin" ContentType="application/vnd.openxmlformats-officedocument.oleObject"/>
  <Override PartName="/xl/embeddings/oleObject413.bin" ContentType="application/vnd.openxmlformats-officedocument.oleObject"/>
  <Override PartName="/xl/embeddings/oleObject460.bin" ContentType="application/vnd.openxmlformats-officedocument.oleObject"/>
  <Default Extension="rels" ContentType="application/vnd.openxmlformats-package.relationships+xml"/>
  <Override PartName="/xl/embeddings/oleObject189.bin" ContentType="application/vnd.openxmlformats-officedocument.oleObject"/>
  <Override PartName="/xl/embeddings/oleObject205.bin" ContentType="application/vnd.openxmlformats-officedocument.oleObject"/>
  <Override PartName="/xl/embeddings/oleObject241.bin" ContentType="application/vnd.openxmlformats-officedocument.oleObject"/>
  <Override PartName="/xl/embeddings/oleObject252.bin" ContentType="application/vnd.openxmlformats-officedocument.oleObject"/>
  <Override PartName="/xl/embeddings/oleObject339.bin" ContentType="application/vnd.openxmlformats-officedocument.oleObject"/>
  <Override PartName="/xl/embeddings/oleObject386.bin" ContentType="application/vnd.openxmlformats-officedocument.oleObject"/>
  <Override PartName="/xl/embeddings/oleObject79.bin" ContentType="application/vnd.openxmlformats-officedocument.oleObject"/>
  <Override PartName="/xl/embeddings/oleObject178.bin" ContentType="application/vnd.openxmlformats-officedocument.oleObject"/>
  <Override PartName="/xl/embeddings/oleObject230.bin" ContentType="application/vnd.openxmlformats-officedocument.oleObject"/>
  <Override PartName="/xl/embeddings/oleObject317.bin" ContentType="application/vnd.openxmlformats-officedocument.oleObject"/>
  <Override PartName="/xl/embeddings/oleObject328.bin" ContentType="application/vnd.openxmlformats-officedocument.oleObject"/>
  <Override PartName="/xl/embeddings/oleObject364.bin" ContentType="application/vnd.openxmlformats-officedocument.oleObject"/>
  <Override PartName="/xl/embeddings/oleObject375.bin" ContentType="application/vnd.openxmlformats-officedocument.oleObject"/>
  <Override PartName="/xl/worksheets/sheet1.xml" ContentType="application/vnd.openxmlformats-officedocument.spreadsheetml.worksheet+xml"/>
  <Override PartName="/xl/embeddings/oleObject68.bin" ContentType="application/vnd.openxmlformats-officedocument.oleObject"/>
  <Override PartName="/xl/embeddings/oleObject109.bin" ContentType="application/vnd.openxmlformats-officedocument.oleObject"/>
  <Override PartName="/xl/embeddings/oleObject156.bin" ContentType="application/vnd.openxmlformats-officedocument.oleObject"/>
  <Override PartName="/xl/embeddings/oleObject167.bin" ContentType="application/vnd.openxmlformats-officedocument.oleObject"/>
  <Override PartName="/xl/embeddings/oleObject306.bin" ContentType="application/vnd.openxmlformats-officedocument.oleObject"/>
  <Override PartName="/xl/embeddings/oleObject353.bin" ContentType="application/vnd.openxmlformats-officedocument.oleObject"/>
  <Override PartName="/xl/embeddings/oleObject498.bin" ContentType="application/vnd.openxmlformats-officedocument.oleObject"/>
  <Override PartName="/xl/embeddings/oleObject503.bin" ContentType="application/vnd.openxmlformats-officedocument.oleObject"/>
  <Override PartName="/xl/embeddings/oleObject46.bin" ContentType="application/vnd.openxmlformats-officedocument.oleObject"/>
  <Override PartName="/xl/embeddings/oleObject57.bin" ContentType="application/vnd.openxmlformats-officedocument.oleObject"/>
  <Override PartName="/xl/embeddings/oleObject93.bin" ContentType="application/vnd.openxmlformats-officedocument.oleObject"/>
  <Override PartName="/xl/embeddings/oleObject145.bin" ContentType="application/vnd.openxmlformats-officedocument.oleObject"/>
  <Override PartName="/xl/embeddings/oleObject192.bin" ContentType="application/vnd.openxmlformats-officedocument.oleObject"/>
  <Override PartName="/xl/embeddings/oleObject342.bin" ContentType="application/vnd.openxmlformats-officedocument.oleObject"/>
  <Override PartName="/xl/embeddings/oleObject429.bin" ContentType="application/vnd.openxmlformats-officedocument.oleObject"/>
  <Override PartName="/xl/embeddings/oleObject476.bin" ContentType="application/vnd.openxmlformats-officedocument.oleObject"/>
  <Override PartName="/xl/embeddings/oleObject487.bin" ContentType="application/vnd.openxmlformats-officedocument.oleObject"/>
  <Override PartName="/xl/embeddings/oleObject35.bin" ContentType="application/vnd.openxmlformats-officedocument.oleObject"/>
  <Override PartName="/xl/embeddings/oleObject82.bin" ContentType="application/vnd.openxmlformats-officedocument.oleObject"/>
  <Override PartName="/xl/embeddings/oleObject134.bin" ContentType="application/vnd.openxmlformats-officedocument.oleObject"/>
  <Override PartName="/xl/embeddings/oleObject181.bin" ContentType="application/vnd.openxmlformats-officedocument.oleObject"/>
  <Override PartName="/xl/embeddings/oleObject268.bin" ContentType="application/vnd.openxmlformats-officedocument.oleObject"/>
  <Override PartName="/xl/embeddings/oleObject279.bin" ContentType="application/vnd.openxmlformats-officedocument.oleObject"/>
  <Override PartName="/xl/embeddings/oleObject331.bin" ContentType="application/vnd.openxmlformats-officedocument.oleObject"/>
  <Override PartName="/xl/embeddings/oleObject418.bin" ContentType="application/vnd.openxmlformats-officedocument.oleObject"/>
  <Override PartName="/xl/embeddings/oleObject465.bin" ContentType="application/vnd.openxmlformats-officedocument.oleObject"/>
  <Override PartName="/xl/worksheets/sheet16.xml" ContentType="application/vnd.openxmlformats-officedocument.spreadsheetml.worksheet+xml"/>
  <Override PartName="/xl/embeddings/oleObject24.bin" ContentType="application/vnd.openxmlformats-officedocument.oleObject"/>
  <Override PartName="/xl/embeddings/oleObject71.bin" ContentType="application/vnd.openxmlformats-officedocument.oleObject"/>
  <Override PartName="/xl/embeddings/oleObject123.bin" ContentType="application/vnd.openxmlformats-officedocument.oleObject"/>
  <Override PartName="/xl/embeddings/oleObject170.bin" ContentType="application/vnd.openxmlformats-officedocument.oleObject"/>
  <Override PartName="/xl/embeddings/oleObject257.bin" ContentType="application/vnd.openxmlformats-officedocument.oleObject"/>
  <Override PartName="/xl/embeddings/oleObject320.bin" ContentType="application/vnd.openxmlformats-officedocument.oleObject"/>
  <Override PartName="/xl/embeddings/oleObject407.bin" ContentType="application/vnd.openxmlformats-officedocument.oleObject"/>
  <Override PartName="/xl/embeddings/oleObject454.bin" ContentType="application/vnd.openxmlformats-officedocument.oleObject"/>
  <Override PartName="/xl/embeddings/oleObject13.bin" ContentType="application/vnd.openxmlformats-officedocument.oleObject"/>
  <Override PartName="/xl/embeddings/oleObject60.bin" ContentType="application/vnd.openxmlformats-officedocument.oleObject"/>
  <Override PartName="/xl/embeddings/oleObject101.bin" ContentType="application/vnd.openxmlformats-officedocument.oleObject"/>
  <Override PartName="/xl/embeddings/oleObject112.bin" ContentType="application/vnd.openxmlformats-officedocument.oleObject"/>
  <Override PartName="/xl/embeddings/oleObject246.bin" ContentType="application/vnd.openxmlformats-officedocument.oleObject"/>
  <Override PartName="/xl/embeddings/oleObject293.bin" ContentType="application/vnd.openxmlformats-officedocument.oleObject"/>
  <Override PartName="/xl/embeddings/oleObject432.bin" ContentType="application/vnd.openxmlformats-officedocument.oleObject"/>
  <Override PartName="/xl/embeddings/oleObject443.bin" ContentType="application/vnd.openxmlformats-officedocument.oleObject"/>
  <Override PartName="/xl/embeddings/oleObject490.bin" ContentType="application/vnd.openxmlformats-officedocument.oleObject"/>
  <Override PartName="/xl/worksheets/sheet6.xml" ContentType="application/vnd.openxmlformats-officedocument.spreadsheetml.worksheet+xml"/>
  <Override PartName="/xl/embeddings/oleObject3.bin" ContentType="application/vnd.openxmlformats-officedocument.oleObject"/>
  <Override PartName="/xl/drawings/drawing5.xml" ContentType="application/vnd.openxmlformats-officedocument.drawing+xml"/>
  <Override PartName="/xl/embeddings/oleObject224.bin" ContentType="application/vnd.openxmlformats-officedocument.oleObject"/>
  <Override PartName="/xl/embeddings/oleObject235.bin" ContentType="application/vnd.openxmlformats-officedocument.oleObject"/>
  <Override PartName="/xl/embeddings/oleObject271.bin" ContentType="application/vnd.openxmlformats-officedocument.oleObject"/>
  <Override PartName="/xl/embeddings/oleObject282.bin" ContentType="application/vnd.openxmlformats-officedocument.oleObject"/>
  <Override PartName="/xl/embeddings/oleObject369.bin" ContentType="application/vnd.openxmlformats-officedocument.oleObject"/>
  <Override PartName="/xl/embeddings/oleObject421.bin" ContentType="application/vnd.openxmlformats-officedocument.oleObject"/>
  <Override PartName="/xl/embeddings/oleObject213.bin" ContentType="application/vnd.openxmlformats-officedocument.oleObject"/>
  <Override PartName="/xl/embeddings/oleObject260.bin" ContentType="application/vnd.openxmlformats-officedocument.oleObject"/>
  <Override PartName="/xl/embeddings/oleObject358.bin" ContentType="application/vnd.openxmlformats-officedocument.oleObject"/>
  <Override PartName="/xl/embeddings/oleObject410.bin" ContentType="application/vnd.openxmlformats-officedocument.oleObject"/>
  <Override PartName="/xl/embeddings/oleObject508.bin" ContentType="application/vnd.openxmlformats-officedocument.oleObject"/>
  <Override PartName="/xl/embeddings/oleObject98.bin" ContentType="application/vnd.openxmlformats-officedocument.oleObject"/>
  <Override PartName="/xl/embeddings/oleObject197.bin" ContentType="application/vnd.openxmlformats-officedocument.oleObject"/>
  <Override PartName="/xl/embeddings/oleObject202.bin" ContentType="application/vnd.openxmlformats-officedocument.oleObject"/>
  <Override PartName="/xl/embeddings/oleObject336.bin" ContentType="application/vnd.openxmlformats-officedocument.oleObject"/>
  <Override PartName="/xl/embeddings/oleObject347.bin" ContentType="application/vnd.openxmlformats-officedocument.oleObject"/>
  <Override PartName="/xl/embeddings/oleObject383.bin" ContentType="application/vnd.openxmlformats-officedocument.oleObject"/>
  <Override PartName="/xl/embeddings/oleObject394.bin" ContentType="application/vnd.openxmlformats-officedocument.oleObject"/>
  <Override PartName="/xl/embeddings/oleObject87.bin" ContentType="application/vnd.openxmlformats-officedocument.oleObject"/>
  <Override PartName="/xl/embeddings/oleObject128.bin" ContentType="application/vnd.openxmlformats-officedocument.oleObject"/>
  <Override PartName="/xl/embeddings/oleObject139.bin" ContentType="application/vnd.openxmlformats-officedocument.oleObject"/>
  <Override PartName="/xl/embeddings/oleObject175.bin" ContentType="application/vnd.openxmlformats-officedocument.oleObject"/>
  <Override PartName="/xl/embeddings/oleObject186.bin" ContentType="application/vnd.openxmlformats-officedocument.oleObject"/>
  <Override PartName="/xl/embeddings/oleObject325.bin" ContentType="application/vnd.openxmlformats-officedocument.oleObject"/>
  <Override PartName="/xl/embeddings/oleObject372.bin" ContentType="application/vnd.openxmlformats-officedocument.oleObject"/>
  <Override PartName="/xl/embeddings/oleObject18.bin" ContentType="application/vnd.openxmlformats-officedocument.oleObject"/>
  <Override PartName="/xl/embeddings/oleObject29.bin" ContentType="application/vnd.openxmlformats-officedocument.oleObject"/>
  <Override PartName="/xl/embeddings/oleObject65.bin" ContentType="application/vnd.openxmlformats-officedocument.oleObject"/>
  <Override PartName="/xl/embeddings/oleObject76.bin" ContentType="application/vnd.openxmlformats-officedocument.oleObject"/>
  <Override PartName="/xl/embeddings/oleObject117.bin" ContentType="application/vnd.openxmlformats-officedocument.oleObject"/>
  <Override PartName="/xl/embeddings/oleObject164.bin" ContentType="application/vnd.openxmlformats-officedocument.oleObject"/>
  <Override PartName="/xl/embeddings/oleObject314.bin" ContentType="application/vnd.openxmlformats-officedocument.oleObject"/>
  <Override PartName="/xl/embeddings/oleObject361.bin" ContentType="application/vnd.openxmlformats-officedocument.oleObject"/>
  <Override PartName="/xl/embeddings/oleObject448.bin" ContentType="application/vnd.openxmlformats-officedocument.oleObject"/>
  <Override PartName="/xl/embeddings/oleObject459.bin" ContentType="application/vnd.openxmlformats-officedocument.oleObject"/>
  <Override PartName="/xl/embeddings/oleObject495.bin" ContentType="application/vnd.openxmlformats-officedocument.oleObject"/>
  <Override PartName="/xl/embeddings/oleObject500.bin" ContentType="application/vnd.openxmlformats-officedocument.oleObject"/>
  <Override PartName="/xl/embeddings/oleObject54.bin" ContentType="application/vnd.openxmlformats-officedocument.oleObject"/>
  <Override PartName="/xl/embeddings/oleObject106.bin" ContentType="application/vnd.openxmlformats-officedocument.oleObject"/>
  <Override PartName="/xl/embeddings/oleObject153.bin" ContentType="application/vnd.openxmlformats-officedocument.oleObject"/>
  <Override PartName="/xl/embeddings/oleObject287.bin" ContentType="application/vnd.openxmlformats-officedocument.oleObject"/>
  <Override PartName="/xl/embeddings/oleObject298.bin" ContentType="application/vnd.openxmlformats-officedocument.oleObject"/>
  <Override PartName="/xl/embeddings/oleObject303.bin" ContentType="application/vnd.openxmlformats-officedocument.oleObject"/>
  <Override PartName="/xl/embeddings/oleObject350.bin" ContentType="application/vnd.openxmlformats-officedocument.oleObject"/>
  <Override PartName="/xl/embeddings/oleObject437.bin" ContentType="application/vnd.openxmlformats-officedocument.oleObject"/>
  <Override PartName="/xl/embeddings/oleObject484.bin" ContentType="application/vnd.openxmlformats-officedocument.oleObject"/>
  <Override PartName="/xl/embeddings/oleObject142.bin" ContentType="application/vnd.openxmlformats-officedocument.oleObject"/>
  <Override PartName="/xl/embeddings/oleObject426.bin" ContentType="application/vnd.openxmlformats-officedocument.oleObject"/>
  <Override PartName="/xl/embeddings/oleObject473.bin" ContentType="application/vnd.openxmlformats-officedocument.oleObject"/>
  <Override PartName="/xl/embeddings/oleObject32.bin" ContentType="application/vnd.openxmlformats-officedocument.oleObject"/>
  <Override PartName="/xl/embeddings/oleObject120.bin" ContentType="application/vnd.openxmlformats-officedocument.oleObject"/>
  <Override PartName="/xl/embeddings/oleObject218.bin" ContentType="application/vnd.openxmlformats-officedocument.oleObject"/>
  <Override PartName="/xl/embeddings/oleObject265.bin" ContentType="application/vnd.openxmlformats-officedocument.oleObject"/>
  <Override PartName="/xl/embeddings/oleObject404.bin" ContentType="application/vnd.openxmlformats-officedocument.oleObject"/>
  <Override PartName="/xl/embeddings/oleObject451.bin" ContentType="application/vnd.openxmlformats-officedocument.oleObject"/>
  <Override PartName="/xl/embeddings/oleObject10.bin" ContentType="application/vnd.openxmlformats-officedocument.oleObject"/>
  <Override PartName="/xl/embeddings/oleObject243.bin" ContentType="application/vnd.openxmlformats-officedocument.oleObject"/>
  <Override PartName="/xl/embeddings/oleObject290.bin" ContentType="application/vnd.openxmlformats-officedocument.oleObject"/>
  <Override PartName="/xl/embeddings/oleObject388.bin" ContentType="application/vnd.openxmlformats-officedocument.oleObject"/>
  <Override PartName="/xl/drawings/drawing2.xml" ContentType="application/vnd.openxmlformats-officedocument.drawing+xml"/>
  <Override PartName="/xl/worksheets/sheet3.xml" ContentType="application/vnd.openxmlformats-officedocument.spreadsheetml.worksheet+xml"/>
  <Override PartName="/xl/embeddings/oleObject221.bin" ContentType="application/vnd.openxmlformats-officedocument.oleObject"/>
  <Override PartName="/xl/embeddings/oleObject319.bin" ContentType="application/vnd.openxmlformats-officedocument.oleObject"/>
  <Override PartName="/xl/embeddings/oleObject366.bin" ContentType="application/vnd.openxmlformats-officedocument.oleObject"/>
  <Override PartName="/xl/embeddings/oleObject505.bin" ContentType="application/vnd.openxmlformats-officedocument.oleObject"/>
  <Override PartName="/xl/embeddings/oleObject48.bin" ContentType="application/vnd.openxmlformats-officedocument.oleObject"/>
  <Override PartName="/xl/embeddings/oleObject95.bin" ContentType="application/vnd.openxmlformats-officedocument.oleObject"/>
  <Override PartName="/xl/embeddings/oleObject158.bin" ContentType="application/vnd.openxmlformats-officedocument.oleObject"/>
  <Override PartName="/xl/embeddings/oleObject344.bin" ContentType="application/vnd.openxmlformats-officedocument.oleObject"/>
  <Override PartName="/xl/embeddings/oleObject391.bin" ContentType="application/vnd.openxmlformats-officedocument.oleObject"/>
  <Override PartName="/xl/embeddings/oleObject489.bin" ContentType="application/vnd.openxmlformats-officedocument.oleObject"/>
  <Override PartName="/xl/embeddings/oleObject136.bin" ContentType="application/vnd.openxmlformats-officedocument.oleObject"/>
  <Override PartName="/xl/embeddings/oleObject183.bin" ContentType="application/vnd.openxmlformats-officedocument.oleObject"/>
  <Override PartName="/xl/embeddings/oleObject467.bin" ContentType="application/vnd.openxmlformats-officedocument.oleObject"/>
  <Override PartName="/xl/worksheets/sheet18.xml" ContentType="application/vnd.openxmlformats-officedocument.spreadsheetml.worksheet+xml"/>
  <Override PartName="/xl/embeddings/oleObject26.bin" ContentType="application/vnd.openxmlformats-officedocument.oleObject"/>
  <Override PartName="/xl/embeddings/oleObject73.bin" ContentType="application/vnd.openxmlformats-officedocument.oleObject"/>
  <Override PartName="/xl/embeddings/oleObject259.bin" ContentType="application/vnd.openxmlformats-officedocument.oleObject"/>
  <Override PartName="/xl/embeddings/oleObject322.bin" ContentType="application/vnd.openxmlformats-officedocument.oleObject"/>
  <Override PartName="/xl/embeddings/oleObject114.bin" ContentType="application/vnd.openxmlformats-officedocument.oleObject"/>
  <Override PartName="/xl/embeddings/oleObject161.bin" ContentType="application/vnd.openxmlformats-officedocument.oleObject"/>
  <Override PartName="/xl/embeddings/oleObject300.bin" ContentType="application/vnd.openxmlformats-officedocument.oleObject"/>
  <Override PartName="/xl/embeddings/oleObject445.bin" ContentType="application/vnd.openxmlformats-officedocument.oleObject"/>
  <Override PartName="/xl/embeddings/oleObject492.bin" ContentType="application/vnd.openxmlformats-officedocument.oleObject"/>
  <Override PartName="/xl/embeddings/oleObject51.bin" ContentType="application/vnd.openxmlformats-officedocument.oleObject"/>
  <Override PartName="/xl/embeddings/oleObject237.bin" ContentType="application/vnd.openxmlformats-officedocument.oleObject"/>
  <Override PartName="/xl/embeddings/oleObject284.bin" ContentType="application/vnd.openxmlformats-officedocument.oleObject"/>
  <Override PartName="/xl/embeddings/oleObject423.bin" ContentType="application/vnd.openxmlformats-officedocument.oleObject"/>
  <Override PartName="/xl/embeddings/oleObject470.bin" ContentType="application/vnd.openxmlformats-officedocument.oleObject"/>
  <Override PartName="/xl/embeddings/oleObject215.bin" ContentType="application/vnd.openxmlformats-officedocument.oleObject"/>
  <Override PartName="/xl/embeddings/oleObject262.bin" ContentType="application/vnd.openxmlformats-officedocument.oleObject"/>
  <Override PartName="/xl/embeddings/oleObject199.bin" ContentType="application/vnd.openxmlformats-officedocument.oleObject"/>
  <Override PartName="/xl/embeddings/oleObject338.bin" ContentType="application/vnd.openxmlformats-officedocument.oleObject"/>
  <Override PartName="/xl/embeddings/oleObject385.bin" ContentType="application/vnd.openxmlformats-officedocument.oleObject"/>
  <Override PartName="/xl/embeddings/oleObject401.bin" ContentType="application/vnd.openxmlformats-officedocument.oleObject"/>
  <Override PartName="/docProps/app.xml" ContentType="application/vnd.openxmlformats-officedocument.extended-properties+xml"/>
  <Override PartName="/xl/embeddings/oleObject89.bin" ContentType="application/vnd.openxmlformats-officedocument.oleObject"/>
  <Override PartName="/xl/embeddings/oleObject177.bin" ContentType="application/vnd.openxmlformats-officedocument.oleObject"/>
  <Override PartName="/xl/embeddings/oleObject240.bin" ContentType="application/vnd.openxmlformats-officedocument.oleObject"/>
  <Override PartName="/xl/embeddings/oleObject67.bin" ContentType="application/vnd.openxmlformats-officedocument.oleObject"/>
  <Override PartName="/xl/embeddings/oleObject316.bin" ContentType="application/vnd.openxmlformats-officedocument.oleObject"/>
  <Override PartName="/xl/embeddings/oleObject363.bin" ContentType="application/vnd.openxmlformats-officedocument.oleObject"/>
  <Override PartName="/xl/embeddings/oleObject108.bin" ContentType="application/vnd.openxmlformats-officedocument.oleObject"/>
  <Override PartName="/xl/embeddings/oleObject155.bin" ContentType="application/vnd.openxmlformats-officedocument.oleObject"/>
  <Override PartName="/xl/embeddings/oleObject439.bin" ContentType="application/vnd.openxmlformats-officedocument.oleObject"/>
  <Override PartName="/xl/embeddings/oleObject486.bin" ContentType="application/vnd.openxmlformats-officedocument.oleObject"/>
  <Override PartName="/xl/embeddings/oleObject502.bin" ContentType="application/vnd.openxmlformats-officedocument.oleObject"/>
  <Override PartName="/xl/embeddings/oleObject45.bin" ContentType="application/vnd.openxmlformats-officedocument.oleObject"/>
  <Override PartName="/xl/embeddings/oleObject92.bin" ContentType="application/vnd.openxmlformats-officedocument.oleObject"/>
  <Override PartName="/xl/embeddings/oleObject133.bin" ContentType="application/vnd.openxmlformats-officedocument.oleObject"/>
  <Override PartName="/xl/embeddings/oleObject180.bin" ContentType="application/vnd.openxmlformats-officedocument.oleObject"/>
  <Override PartName="/xl/embeddings/oleObject278.bin" ContentType="application/vnd.openxmlformats-officedocument.oleObject"/>
  <Override PartName="/xl/embeddings/oleObject341.bin" ContentType="application/vnd.openxmlformats-officedocument.oleObject"/>
  <Override PartName="/xl/worksheets/sheet15.xml" ContentType="application/vnd.openxmlformats-officedocument.spreadsheetml.worksheet+xml"/>
  <Override PartName="/xl/embeddings/oleObject23.bin" ContentType="application/vnd.openxmlformats-officedocument.oleObject"/>
  <Override PartName="/xl/embeddings/oleObject70.bin" ContentType="application/vnd.openxmlformats-officedocument.oleObject"/>
  <Override PartName="/xl/embeddings/oleObject417.bin" ContentType="application/vnd.openxmlformats-officedocument.oleObject"/>
  <Override PartName="/xl/embeddings/oleObject464.bin" ContentType="application/vnd.openxmlformats-officedocument.oleObject"/>
  <Override PartName="/xl/embeddings/oleObject111.bin" ContentType="application/vnd.openxmlformats-officedocument.oleObject"/>
  <Override PartName="/xl/embeddings/oleObject209.bin" ContentType="application/vnd.openxmlformats-officedocument.oleObject"/>
  <Override PartName="/xl/embeddings/oleObject256.bin" ContentType="application/vnd.openxmlformats-officedocument.oleObject"/>
  <Override PartName="/xl/embeddings/oleObject442.bin" ContentType="application/vnd.openxmlformats-officedocument.oleObject"/>
  <Default Extension="wmf" ContentType="image/x-wmf"/>
  <Override PartName="/xl/embeddings/oleObject234.bin" ContentType="application/vnd.openxmlformats-officedocument.oleObject"/>
  <Override PartName="/xl/embeddings/oleObject281.bin" ContentType="application/vnd.openxmlformats-officedocument.oleObject"/>
  <Override PartName="/xl/embeddings/oleObject379.bin" ContentType="application/vnd.openxmlformats-officedocument.oleObject"/>
  <Override PartName="/xl/embeddings/oleObject357.bin" ContentType="application/vnd.openxmlformats-officedocument.oleObject"/>
  <Override PartName="/xl/embeddings/oleObject420.bin" ContentType="application/vnd.openxmlformats-officedocument.oleObject"/>
  <Override PartName="/xl/embeddings/oleObject149.bin" ContentType="application/vnd.openxmlformats-officedocument.oleObject"/>
  <Override PartName="/xl/embeddings/oleObject196.bin" ContentType="application/vnd.openxmlformats-officedocument.oleObject"/>
  <Override PartName="/xl/embeddings/oleObject212.bin" ContentType="application/vnd.openxmlformats-officedocument.oleObject"/>
  <Override PartName="/xl/comments2.xml" ContentType="application/vnd.openxmlformats-officedocument.spreadsheetml.comments+xml"/>
  <Override PartName="/xl/embeddings/oleObject39.bin" ContentType="application/vnd.openxmlformats-officedocument.oleObject"/>
  <Override PartName="/xl/embeddings/oleObject86.bin" ContentType="application/vnd.openxmlformats-officedocument.oleObject"/>
  <Override PartName="/xl/embeddings/oleObject335.bin" ContentType="application/vnd.openxmlformats-officedocument.oleObject"/>
  <Override PartName="/xl/embeddings/oleObject382.bin" ContentType="application/vnd.openxmlformats-officedocument.oleObject"/>
  <Override PartName="/xl/embeddings/oleObject127.bin" ContentType="application/vnd.openxmlformats-officedocument.oleObject"/>
  <Override PartName="/xl/embeddings/oleObject174.bin" ContentType="application/vnd.openxmlformats-officedocument.oleObject"/>
  <Override PartName="/xl/embeddings/oleObject313.bin" ContentType="application/vnd.openxmlformats-officedocument.oleObject"/>
  <Override PartName="/xl/embeddings/oleObject360.bin" ContentType="application/vnd.openxmlformats-officedocument.oleObject"/>
  <Override PartName="/xl/embeddings/oleObject458.bin" ContentType="application/vnd.openxmlformats-officedocument.oleObject"/>
  <Override PartName="/xl/embeddings/oleObject17.bin" ContentType="application/vnd.openxmlformats-officedocument.oleObject"/>
  <Override PartName="/xl/embeddings/oleObject64.bin" ContentType="application/vnd.openxmlformats-officedocument.oleObject"/>
  <Override PartName="/xl/embeddings/oleObject105.bin" ContentType="application/vnd.openxmlformats-officedocument.oleObject"/>
  <Override PartName="/xl/embeddings/oleObject152.bin" ContentType="application/vnd.openxmlformats-officedocument.oleObject"/>
  <Override PartName="/xl/embeddings/oleObject297.bin" ContentType="application/vnd.openxmlformats-officedocument.oleObject"/>
  <Override PartName="/xl/embeddings/oleObject7.bin" ContentType="application/vnd.openxmlformats-officedocument.oleObject"/>
  <Override PartName="/xl/embeddings/oleObject42.bin" ContentType="application/vnd.openxmlformats-officedocument.oleObject"/>
  <Override PartName="/xl/drawings/drawing9.xml" ContentType="application/vnd.openxmlformats-officedocument.drawing+xml"/>
  <Override PartName="/xl/embeddings/oleObject436.bin" ContentType="application/vnd.openxmlformats-officedocument.oleObject"/>
  <Override PartName="/xl/embeddings/oleObject483.bin" ContentType="application/vnd.openxmlformats-officedocument.oleObject"/>
  <Override PartName="/xl/embeddings/oleObject130.bin" ContentType="application/vnd.openxmlformats-officedocument.oleObject"/>
  <Override PartName="/xl/embeddings/oleObject228.bin" ContentType="application/vnd.openxmlformats-officedocument.oleObject"/>
  <Override PartName="/xl/embeddings/oleObject275.bin" ContentType="application/vnd.openxmlformats-officedocument.oleObject"/>
  <Override PartName="/xl/embeddings/oleObject414.bin" ContentType="application/vnd.openxmlformats-officedocument.oleObject"/>
  <Override PartName="/xl/embeddings/oleObject461.bin" ContentType="application/vnd.openxmlformats-officedocument.oleObject"/>
  <Override PartName="/xl/worksheets/sheet12.xml" ContentType="application/vnd.openxmlformats-officedocument.spreadsheetml.worksheet+xml"/>
  <Override PartName="/xl/embeddings/oleObject20.bin" ContentType="application/vnd.openxmlformats-officedocument.oleObject"/>
  <Override PartName="/xl/embeddings/oleObject206.bin" ContentType="application/vnd.openxmlformats-officedocument.oleObject"/>
  <Override PartName="/xl/embeddings/oleObject253.bin" ContentType="application/vnd.openxmlformats-officedocument.oleObject"/>
  <Override PartName="/xl/embeddings/oleObject398.bin" ContentType="application/vnd.openxmlformats-officedocument.oleObject"/>
  <Override PartName="/xl/embeddings/oleObject329.bin" ContentType="application/vnd.openxmlformats-officedocument.oleObject"/>
  <Override PartName="/xl/embeddings/oleObject376.bin" ContentType="application/vnd.openxmlformats-officedocument.oleObject"/>
  <Override PartName="/xl/embeddings/oleObject168.bin" ContentType="application/vnd.openxmlformats-officedocument.oleObject"/>
  <Override PartName="/xl/embeddings/oleObject231.bin" ContentType="application/vnd.openxmlformats-officedocument.oleObject"/>
  <Override PartName="/xl/embeddings/oleObject499.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40" windowWidth="19320" windowHeight="12495" tabRatio="874" activeTab="2"/>
  </bookViews>
  <sheets>
    <sheet name="fPM_min" sheetId="29" r:id="rId1"/>
    <sheet name="fPM_Variability" sheetId="28" r:id="rId2"/>
    <sheet name="fPM_Oil_New_Template_nonnormal" sheetId="27" r:id="rId3"/>
    <sheet name="QA_Calcs" sheetId="31" r:id="rId4"/>
    <sheet name="Intstructions" sheetId="23" r:id="rId5"/>
    <sheet name="Step 5. Instructions" sheetId="25" r:id="rId6"/>
    <sheet name="Template_nonnormal " sheetId="5" r:id="rId7"/>
    <sheet name="Calculations for Template" sheetId="7" r:id="rId8"/>
    <sheet name="Recalculate t-stat" sheetId="6" r:id="rId9"/>
    <sheet name="Recalculations1" sheetId="8" r:id="rId10"/>
    <sheet name="Recalculations2" sheetId="9" r:id="rId11"/>
    <sheet name="Recalculations3" sheetId="10" r:id="rId12"/>
    <sheet name="Recalculations4" sheetId="11" r:id="rId13"/>
    <sheet name="Recalculations5" sheetId="12" r:id="rId14"/>
    <sheet name="Recalculations6" sheetId="13" r:id="rId15"/>
    <sheet name="Promulgated_Data" sheetId="30" r:id="rId16"/>
    <sheet name="1588_PartII" sheetId="32" r:id="rId17"/>
    <sheet name="Port_Everglades_PPE03_Runs" sheetId="33" r:id="rId18"/>
    <sheet name="UPL Pooled Template " sheetId="34" r:id="rId19"/>
    <sheet name="Lognormal Template" sheetId="35" r:id="rId20"/>
  </sheets>
  <definedNames>
    <definedName name="_xlnm._FilterDatabase" localSheetId="0" hidden="1">fPM_min!$A$3:$BG$31</definedName>
    <definedName name="A00">QA_Calcs!$A$22</definedName>
    <definedName name="Acid_Gas_oil" localSheetId="16">#REF!</definedName>
    <definedName name="Acid_Gas_oil" localSheetId="15">#REF!</definedName>
    <definedName name="Acid_Gas_oil" localSheetId="3">#REF!</definedName>
    <definedName name="Acid_Gas_oil">#REF!</definedName>
    <definedName name="Mercury_oil" localSheetId="16">#REF!</definedName>
    <definedName name="Mercury_oil" localSheetId="15">#REF!</definedName>
    <definedName name="Mercury_oil" localSheetId="3">#REF!</definedName>
    <definedName name="Mercury_oil">#REF!</definedName>
    <definedName name="Metallic_oil" localSheetId="16">#REF!</definedName>
    <definedName name="Metallic_oil" localSheetId="15">#REF!</definedName>
    <definedName name="Metallic_oil" localSheetId="3">#REF!</definedName>
    <definedName name="Metallic_oil">#REF!</definedName>
    <definedName name="Organic_Non_oil" localSheetId="16">#REF!</definedName>
    <definedName name="Organic_Non_oil" localSheetId="15">#REF!</definedName>
    <definedName name="Organic_Non_oil" localSheetId="3">#REF!</definedName>
    <definedName name="Organic_Non_oil">#REF!</definedName>
    <definedName name="organic_oil" localSheetId="16">#REF!</definedName>
    <definedName name="organic_oil" localSheetId="15">#REF!</definedName>
    <definedName name="organic_oil" localSheetId="3">#REF!</definedName>
    <definedName name="organic_oil">#REF!</definedName>
  </definedNames>
  <calcPr calcId="125725"/>
</workbook>
</file>

<file path=xl/calcChain.xml><?xml version="1.0" encoding="utf-8"?>
<calcChain xmlns="http://schemas.openxmlformats.org/spreadsheetml/2006/main">
  <c r="F127" i="27"/>
  <c r="F125"/>
  <c r="C108" i="35"/>
  <c r="L85"/>
  <c r="K85"/>
  <c r="J85"/>
  <c r="I85"/>
  <c r="H85"/>
  <c r="G85"/>
  <c r="F85"/>
  <c r="E85"/>
  <c r="D85"/>
  <c r="C85"/>
  <c r="B85"/>
  <c r="L84"/>
  <c r="K84"/>
  <c r="J84"/>
  <c r="I84"/>
  <c r="H84"/>
  <c r="G84"/>
  <c r="F84"/>
  <c r="E84"/>
  <c r="D84"/>
  <c r="C84"/>
  <c r="B84"/>
  <c r="L83"/>
  <c r="K83"/>
  <c r="J83"/>
  <c r="I83"/>
  <c r="H83"/>
  <c r="G83"/>
  <c r="F83"/>
  <c r="E83"/>
  <c r="D83"/>
  <c r="C83"/>
  <c r="B83"/>
  <c r="L82"/>
  <c r="K82"/>
  <c r="J82"/>
  <c r="I82"/>
  <c r="H82"/>
  <c r="G82"/>
  <c r="F82"/>
  <c r="E82"/>
  <c r="D82"/>
  <c r="C82"/>
  <c r="B82"/>
  <c r="L81"/>
  <c r="K81"/>
  <c r="J81"/>
  <c r="I81"/>
  <c r="H81"/>
  <c r="G81"/>
  <c r="F81"/>
  <c r="E81"/>
  <c r="D81"/>
  <c r="C81"/>
  <c r="B81"/>
  <c r="L80"/>
  <c r="K80"/>
  <c r="J80"/>
  <c r="I80"/>
  <c r="H80"/>
  <c r="G80"/>
  <c r="F80"/>
  <c r="E80"/>
  <c r="D80"/>
  <c r="C80"/>
  <c r="B80"/>
  <c r="L79"/>
  <c r="K79"/>
  <c r="J79"/>
  <c r="I79"/>
  <c r="H79"/>
  <c r="G79"/>
  <c r="F79"/>
  <c r="E79"/>
  <c r="D79"/>
  <c r="C79"/>
  <c r="B79"/>
  <c r="L78"/>
  <c r="K78"/>
  <c r="J78"/>
  <c r="I78"/>
  <c r="H78"/>
  <c r="G78"/>
  <c r="F78"/>
  <c r="E78"/>
  <c r="D78"/>
  <c r="C78"/>
  <c r="B78"/>
  <c r="L77"/>
  <c r="K77"/>
  <c r="J77"/>
  <c r="I77"/>
  <c r="H77"/>
  <c r="G77"/>
  <c r="F77"/>
  <c r="E77"/>
  <c r="D77"/>
  <c r="C77"/>
  <c r="B77"/>
  <c r="L76"/>
  <c r="K76"/>
  <c r="J76"/>
  <c r="I76"/>
  <c r="H76"/>
  <c r="G76"/>
  <c r="F76"/>
  <c r="E76"/>
  <c r="D76"/>
  <c r="C76"/>
  <c r="B76"/>
  <c r="L75"/>
  <c r="K75"/>
  <c r="J75"/>
  <c r="I75"/>
  <c r="H75"/>
  <c r="G75"/>
  <c r="F75"/>
  <c r="E75"/>
  <c r="D75"/>
  <c r="C75"/>
  <c r="B75"/>
  <c r="L74"/>
  <c r="K74"/>
  <c r="J74"/>
  <c r="I74"/>
  <c r="H74"/>
  <c r="G74"/>
  <c r="F74"/>
  <c r="E74"/>
  <c r="D74"/>
  <c r="C74"/>
  <c r="B74"/>
  <c r="L73"/>
  <c r="K73"/>
  <c r="J73"/>
  <c r="I73"/>
  <c r="H73"/>
  <c r="G73"/>
  <c r="F73"/>
  <c r="E73"/>
  <c r="D73"/>
  <c r="C73"/>
  <c r="B73"/>
  <c r="L72"/>
  <c r="K72"/>
  <c r="J72"/>
  <c r="I72"/>
  <c r="H72"/>
  <c r="G72"/>
  <c r="F72"/>
  <c r="E72"/>
  <c r="D72"/>
  <c r="C72"/>
  <c r="B72"/>
  <c r="L71"/>
  <c r="K71"/>
  <c r="J71"/>
  <c r="I71"/>
  <c r="H71"/>
  <c r="G71"/>
  <c r="F71"/>
  <c r="E71"/>
  <c r="D71"/>
  <c r="C71"/>
  <c r="B71"/>
  <c r="L70"/>
  <c r="K70"/>
  <c r="J70"/>
  <c r="I70"/>
  <c r="H70"/>
  <c r="G70"/>
  <c r="F70"/>
  <c r="E70"/>
  <c r="D70"/>
  <c r="C70"/>
  <c r="B70"/>
  <c r="L69"/>
  <c r="K69"/>
  <c r="J69"/>
  <c r="I69"/>
  <c r="H69"/>
  <c r="G69"/>
  <c r="F69"/>
  <c r="E69"/>
  <c r="D69"/>
  <c r="C69"/>
  <c r="B69"/>
  <c r="L68"/>
  <c r="K68"/>
  <c r="J68"/>
  <c r="I68"/>
  <c r="H68"/>
  <c r="G68"/>
  <c r="F68"/>
  <c r="E68"/>
  <c r="D68"/>
  <c r="C68"/>
  <c r="B68"/>
  <c r="L67"/>
  <c r="K67"/>
  <c r="J67"/>
  <c r="I67"/>
  <c r="H67"/>
  <c r="G67"/>
  <c r="F67"/>
  <c r="E67"/>
  <c r="D67"/>
  <c r="C67"/>
  <c r="B67"/>
  <c r="L66"/>
  <c r="K66"/>
  <c r="J66"/>
  <c r="I66"/>
  <c r="H66"/>
  <c r="G66"/>
  <c r="F66"/>
  <c r="E66"/>
  <c r="D66"/>
  <c r="C66"/>
  <c r="B66"/>
  <c r="L65"/>
  <c r="K65"/>
  <c r="J65"/>
  <c r="I65"/>
  <c r="H65"/>
  <c r="G65"/>
  <c r="F65"/>
  <c r="E65"/>
  <c r="D65"/>
  <c r="C65"/>
  <c r="B65"/>
  <c r="L64"/>
  <c r="K64"/>
  <c r="J64"/>
  <c r="I64"/>
  <c r="H64"/>
  <c r="G64"/>
  <c r="F64"/>
  <c r="E64"/>
  <c r="D64"/>
  <c r="C64"/>
  <c r="B64"/>
  <c r="L63"/>
  <c r="K63"/>
  <c r="J63"/>
  <c r="I63"/>
  <c r="H63"/>
  <c r="G63"/>
  <c r="F63"/>
  <c r="E63"/>
  <c r="D63"/>
  <c r="C63"/>
  <c r="B63"/>
  <c r="L62"/>
  <c r="K62"/>
  <c r="J62"/>
  <c r="I62"/>
  <c r="H62"/>
  <c r="G62"/>
  <c r="F62"/>
  <c r="E62"/>
  <c r="D62"/>
  <c r="C62"/>
  <c r="B62"/>
  <c r="L61"/>
  <c r="K61"/>
  <c r="J61"/>
  <c r="I61"/>
  <c r="H61"/>
  <c r="G61"/>
  <c r="F61"/>
  <c r="E61"/>
  <c r="D61"/>
  <c r="C61"/>
  <c r="B61"/>
  <c r="L60"/>
  <c r="K60"/>
  <c r="J60"/>
  <c r="I60"/>
  <c r="H60"/>
  <c r="G60"/>
  <c r="F60"/>
  <c r="E60"/>
  <c r="D60"/>
  <c r="C60"/>
  <c r="B60"/>
  <c r="L59"/>
  <c r="K59"/>
  <c r="J59"/>
  <c r="I59"/>
  <c r="H59"/>
  <c r="G59"/>
  <c r="F59"/>
  <c r="E59"/>
  <c r="D59"/>
  <c r="C59"/>
  <c r="B59"/>
  <c r="L58"/>
  <c r="K58"/>
  <c r="J58"/>
  <c r="I58"/>
  <c r="H58"/>
  <c r="G58"/>
  <c r="F58"/>
  <c r="E58"/>
  <c r="D58"/>
  <c r="C58"/>
  <c r="B58"/>
  <c r="L57"/>
  <c r="K57"/>
  <c r="J57"/>
  <c r="I57"/>
  <c r="H57"/>
  <c r="G57"/>
  <c r="F57"/>
  <c r="E57"/>
  <c r="D57"/>
  <c r="C57"/>
  <c r="B57"/>
  <c r="L56"/>
  <c r="K56"/>
  <c r="J56"/>
  <c r="I56"/>
  <c r="H56"/>
  <c r="G56"/>
  <c r="F56"/>
  <c r="E56"/>
  <c r="D56"/>
  <c r="C56"/>
  <c r="B56"/>
  <c r="L55"/>
  <c r="K55"/>
  <c r="J55"/>
  <c r="I55"/>
  <c r="H55"/>
  <c r="G55"/>
  <c r="F55"/>
  <c r="E55"/>
  <c r="D55"/>
  <c r="C55"/>
  <c r="B55"/>
  <c r="L54"/>
  <c r="K54"/>
  <c r="J54"/>
  <c r="I54"/>
  <c r="H54"/>
  <c r="G54"/>
  <c r="F54"/>
  <c r="E54"/>
  <c r="D54"/>
  <c r="C54"/>
  <c r="B54"/>
  <c r="L53"/>
  <c r="K53"/>
  <c r="J53"/>
  <c r="I53"/>
  <c r="H53"/>
  <c r="G53"/>
  <c r="F53"/>
  <c r="E53"/>
  <c r="D53"/>
  <c r="C53"/>
  <c r="B53"/>
  <c r="L52"/>
  <c r="K52"/>
  <c r="J52"/>
  <c r="I52"/>
  <c r="H52"/>
  <c r="G52"/>
  <c r="F52"/>
  <c r="E52"/>
  <c r="D52"/>
  <c r="C52"/>
  <c r="B52"/>
  <c r="L51"/>
  <c r="K51"/>
  <c r="J51"/>
  <c r="I51"/>
  <c r="H51"/>
  <c r="G51"/>
  <c r="F51"/>
  <c r="E51"/>
  <c r="D51"/>
  <c r="C51"/>
  <c r="B51"/>
  <c r="B45"/>
  <c r="F43"/>
  <c r="B42"/>
  <c r="B44" s="1"/>
  <c r="B41"/>
  <c r="B43" s="1"/>
  <c r="D79" i="34"/>
  <c r="B74"/>
  <c r="L67"/>
  <c r="K67"/>
  <c r="J67"/>
  <c r="I67"/>
  <c r="H67"/>
  <c r="G67"/>
  <c r="F67"/>
  <c r="E67"/>
  <c r="D67"/>
  <c r="C67"/>
  <c r="B67"/>
  <c r="B52"/>
  <c r="L50"/>
  <c r="K50"/>
  <c r="J50"/>
  <c r="I50"/>
  <c r="H50"/>
  <c r="G50"/>
  <c r="F50"/>
  <c r="E50"/>
  <c r="D50"/>
  <c r="C50"/>
  <c r="B50"/>
  <c r="B45"/>
  <c r="B42"/>
  <c r="B41"/>
  <c r="B43" s="1"/>
  <c r="B44" l="1"/>
  <c r="C87" i="35"/>
  <c r="B46"/>
  <c r="B47" s="1"/>
  <c r="C42"/>
  <c r="C45"/>
  <c r="E102"/>
  <c r="F117" s="1"/>
  <c r="C41"/>
  <c r="D92"/>
  <c r="B46" i="34"/>
  <c r="B47" s="1"/>
  <c r="B55"/>
  <c r="B88" s="1"/>
  <c r="B92" s="1"/>
  <c r="C98" s="1"/>
  <c r="B60" l="1"/>
  <c r="H104" s="1"/>
  <c r="F107" s="1"/>
  <c r="F125" i="35"/>
  <c r="D153"/>
  <c r="E157"/>
  <c r="F114"/>
  <c r="C121" s="1"/>
  <c r="C46"/>
  <c r="C47" s="1"/>
  <c r="C43"/>
  <c r="C44" s="1"/>
  <c r="D146"/>
  <c r="D149"/>
  <c r="H161" l="1"/>
  <c r="D165" s="1"/>
  <c r="A65" i="33" l="1"/>
  <c r="A64"/>
  <c r="A63"/>
  <c r="A62"/>
  <c r="A61"/>
  <c r="A60"/>
  <c r="A59"/>
  <c r="A58"/>
  <c r="A57"/>
  <c r="A56"/>
  <c r="A55"/>
  <c r="A54"/>
  <c r="A53"/>
  <c r="A52"/>
  <c r="A51"/>
  <c r="A50"/>
  <c r="A49"/>
  <c r="A48"/>
  <c r="A47"/>
  <c r="A46"/>
  <c r="A45"/>
  <c r="A44"/>
  <c r="A43"/>
  <c r="A42"/>
  <c r="A41"/>
  <c r="A40"/>
  <c r="A39"/>
  <c r="A38"/>
  <c r="A37"/>
  <c r="A36"/>
  <c r="I32"/>
  <c r="A32"/>
  <c r="H32" s="1"/>
  <c r="I31"/>
  <c r="A31"/>
  <c r="H31" s="1"/>
  <c r="I30"/>
  <c r="A30"/>
  <c r="I29"/>
  <c r="A29"/>
  <c r="H29" s="1"/>
  <c r="I28"/>
  <c r="A28"/>
  <c r="H28" s="1"/>
  <c r="I27"/>
  <c r="A27"/>
  <c r="H27" s="1"/>
  <c r="I26"/>
  <c r="A26"/>
  <c r="I25"/>
  <c r="A25"/>
  <c r="H25" s="1"/>
  <c r="I24"/>
  <c r="A24"/>
  <c r="H24" s="1"/>
  <c r="I23"/>
  <c r="A23"/>
  <c r="H23" s="1"/>
  <c r="I22"/>
  <c r="A22"/>
  <c r="I21"/>
  <c r="A21"/>
  <c r="H21" s="1"/>
  <c r="J21" s="1"/>
  <c r="I20"/>
  <c r="A20"/>
  <c r="H20" s="1"/>
  <c r="I19"/>
  <c r="A19"/>
  <c r="H19" s="1"/>
  <c r="J19" s="1"/>
  <c r="I18"/>
  <c r="A18"/>
  <c r="I17"/>
  <c r="A17"/>
  <c r="H17" s="1"/>
  <c r="J17" s="1"/>
  <c r="I16"/>
  <c r="A16"/>
  <c r="H16" s="1"/>
  <c r="I15"/>
  <c r="A15"/>
  <c r="H15" s="1"/>
  <c r="J15" s="1"/>
  <c r="I14"/>
  <c r="A14"/>
  <c r="I13"/>
  <c r="A13"/>
  <c r="H13" s="1"/>
  <c r="J13" s="1"/>
  <c r="I12"/>
  <c r="A12"/>
  <c r="H12" s="1"/>
  <c r="I11"/>
  <c r="A11"/>
  <c r="H11" s="1"/>
  <c r="J11" s="1"/>
  <c r="I10"/>
  <c r="A10"/>
  <c r="I9"/>
  <c r="A9"/>
  <c r="H9" s="1"/>
  <c r="J9" s="1"/>
  <c r="I8"/>
  <c r="A8"/>
  <c r="H8" s="1"/>
  <c r="I7"/>
  <c r="A7"/>
  <c r="H7" s="1"/>
  <c r="J7" s="1"/>
  <c r="I6"/>
  <c r="A6"/>
  <c r="I5"/>
  <c r="A5"/>
  <c r="H5" s="1"/>
  <c r="J5" s="1"/>
  <c r="I4"/>
  <c r="A4"/>
  <c r="H4" s="1"/>
  <c r="I3"/>
  <c r="A3"/>
  <c r="H3" s="1"/>
  <c r="J3" s="1"/>
  <c r="E26" i="32"/>
  <c r="D26"/>
  <c r="E25"/>
  <c r="D25"/>
  <c r="E24"/>
  <c r="D24"/>
  <c r="E19"/>
  <c r="D19"/>
  <c r="E18"/>
  <c r="D18"/>
  <c r="E17"/>
  <c r="D17"/>
  <c r="E12"/>
  <c r="D12"/>
  <c r="E11"/>
  <c r="D11"/>
  <c r="E10"/>
  <c r="D10"/>
  <c r="E5"/>
  <c r="D5"/>
  <c r="E4"/>
  <c r="D4"/>
  <c r="E3"/>
  <c r="D3"/>
  <c r="P306" i="31"/>
  <c r="P305"/>
  <c r="D305"/>
  <c r="M216"/>
  <c r="M215"/>
  <c r="M214"/>
  <c r="M213"/>
  <c r="M212"/>
  <c r="M211"/>
  <c r="M205"/>
  <c r="M204"/>
  <c r="M203"/>
  <c r="M202"/>
  <c r="D95"/>
  <c r="AX66"/>
  <c r="AI66"/>
  <c r="AP66" s="1"/>
  <c r="AT66" s="1"/>
  <c r="AV66" s="1"/>
  <c r="P66"/>
  <c r="O66"/>
  <c r="AX65"/>
  <c r="AI65"/>
  <c r="AP65" s="1"/>
  <c r="AT65" s="1"/>
  <c r="AV65" s="1"/>
  <c r="P65"/>
  <c r="O65"/>
  <c r="AX64"/>
  <c r="AL64"/>
  <c r="AL65" s="1"/>
  <c r="AL66" s="1"/>
  <c r="AI64"/>
  <c r="AP64" s="1"/>
  <c r="AT64" s="1"/>
  <c r="AV64" s="1"/>
  <c r="P64"/>
  <c r="O64"/>
  <c r="AX63"/>
  <c r="AL63"/>
  <c r="AI63"/>
  <c r="AP63" s="1"/>
  <c r="AT63" s="1"/>
  <c r="AV63" s="1"/>
  <c r="P63"/>
  <c r="O63"/>
  <c r="I63"/>
  <c r="I64" s="1"/>
  <c r="I65" s="1"/>
  <c r="I66" s="1"/>
  <c r="AX62"/>
  <c r="AP62"/>
  <c r="AT62" s="1"/>
  <c r="AV62" s="1"/>
  <c r="AL62"/>
  <c r="AI62"/>
  <c r="P62"/>
  <c r="O62"/>
  <c r="I62"/>
  <c r="AX61"/>
  <c r="AL61"/>
  <c r="AI61"/>
  <c r="AP61" s="1"/>
  <c r="AT61" s="1"/>
  <c r="AV61" s="1"/>
  <c r="Q61"/>
  <c r="Q62" s="1"/>
  <c r="Q63" s="1"/>
  <c r="Q64" s="1"/>
  <c r="Q65" s="1"/>
  <c r="Q66" s="1"/>
  <c r="P61"/>
  <c r="O61"/>
  <c r="I61"/>
  <c r="BJ55"/>
  <c r="H211" s="1"/>
  <c r="AI55"/>
  <c r="AE55"/>
  <c r="AD55"/>
  <c r="S55"/>
  <c r="AP55" s="1"/>
  <c r="O55"/>
  <c r="I55"/>
  <c r="G55"/>
  <c r="E55"/>
  <c r="BJ54"/>
  <c r="G211" s="1"/>
  <c r="AI54"/>
  <c r="AE54"/>
  <c r="AD54"/>
  <c r="S54"/>
  <c r="O54"/>
  <c r="I54"/>
  <c r="G54"/>
  <c r="E54"/>
  <c r="BJ53"/>
  <c r="F211" s="1"/>
  <c r="AI53"/>
  <c r="AE53"/>
  <c r="AD53"/>
  <c r="S53"/>
  <c r="AP53" s="1"/>
  <c r="O53"/>
  <c r="I53"/>
  <c r="G53"/>
  <c r="E53"/>
  <c r="BJ52"/>
  <c r="E211" s="1"/>
  <c r="AI52"/>
  <c r="AE52"/>
  <c r="AD52"/>
  <c r="S52"/>
  <c r="O52"/>
  <c r="I52"/>
  <c r="G52"/>
  <c r="E52"/>
  <c r="BJ51"/>
  <c r="D211" s="1"/>
  <c r="AI51"/>
  <c r="AE51"/>
  <c r="AD51"/>
  <c r="S51"/>
  <c r="O51"/>
  <c r="I51"/>
  <c r="G51"/>
  <c r="E51"/>
  <c r="BJ50"/>
  <c r="C211" s="1"/>
  <c r="AI50"/>
  <c r="AE50"/>
  <c r="AD50"/>
  <c r="S50"/>
  <c r="O50"/>
  <c r="I50"/>
  <c r="G50"/>
  <c r="E50"/>
  <c r="BJ49"/>
  <c r="H214" s="1"/>
  <c r="AI49"/>
  <c r="AE49"/>
  <c r="AD49"/>
  <c r="S49"/>
  <c r="O49"/>
  <c r="I49"/>
  <c r="G49"/>
  <c r="E49"/>
  <c r="BJ48"/>
  <c r="G214" s="1"/>
  <c r="AI48"/>
  <c r="AP48" s="1"/>
  <c r="AE48"/>
  <c r="AD48"/>
  <c r="S48"/>
  <c r="O48"/>
  <c r="I48"/>
  <c r="G48"/>
  <c r="E48"/>
  <c r="BJ47"/>
  <c r="F214" s="1"/>
  <c r="AI47"/>
  <c r="AE47"/>
  <c r="AD47"/>
  <c r="S47"/>
  <c r="AP47" s="1"/>
  <c r="O47"/>
  <c r="I47"/>
  <c r="G47"/>
  <c r="E47"/>
  <c r="BJ46"/>
  <c r="E214" s="1"/>
  <c r="AI46"/>
  <c r="AP46" s="1"/>
  <c r="AE46"/>
  <c r="AD46"/>
  <c r="S46"/>
  <c r="O46"/>
  <c r="I46"/>
  <c r="G46"/>
  <c r="E46"/>
  <c r="BJ45"/>
  <c r="D214" s="1"/>
  <c r="AI45"/>
  <c r="AE45"/>
  <c r="AD45"/>
  <c r="S45"/>
  <c r="AP45" s="1"/>
  <c r="O45"/>
  <c r="I45"/>
  <c r="G45"/>
  <c r="E45"/>
  <c r="BJ44"/>
  <c r="C214" s="1"/>
  <c r="AI44"/>
  <c r="AE44"/>
  <c r="AD44"/>
  <c r="S44"/>
  <c r="O44"/>
  <c r="I44"/>
  <c r="G44"/>
  <c r="E44"/>
  <c r="BJ43"/>
  <c r="H213" s="1"/>
  <c r="AI43"/>
  <c r="AE43"/>
  <c r="AD43"/>
  <c r="S43"/>
  <c r="O43"/>
  <c r="I43"/>
  <c r="G43"/>
  <c r="E43"/>
  <c r="BJ42"/>
  <c r="G213" s="1"/>
  <c r="AI42"/>
  <c r="AE42"/>
  <c r="AD42"/>
  <c r="S42"/>
  <c r="O42"/>
  <c r="I42"/>
  <c r="G42"/>
  <c r="E42"/>
  <c r="BJ41"/>
  <c r="F213" s="1"/>
  <c r="AI41"/>
  <c r="AE41"/>
  <c r="AD41"/>
  <c r="S41"/>
  <c r="O41"/>
  <c r="I41"/>
  <c r="G41"/>
  <c r="E41"/>
  <c r="BJ40"/>
  <c r="E213" s="1"/>
  <c r="AI40"/>
  <c r="AP40" s="1"/>
  <c r="AE40"/>
  <c r="AD40"/>
  <c r="S40"/>
  <c r="O40"/>
  <c r="I40"/>
  <c r="G40"/>
  <c r="E40"/>
  <c r="BJ39"/>
  <c r="D213" s="1"/>
  <c r="AI39"/>
  <c r="AE39"/>
  <c r="AD39"/>
  <c r="S39"/>
  <c r="AP39" s="1"/>
  <c r="O39"/>
  <c r="I39"/>
  <c r="G39"/>
  <c r="E39"/>
  <c r="BJ38"/>
  <c r="C213" s="1"/>
  <c r="AI38"/>
  <c r="AP38" s="1"/>
  <c r="AE38"/>
  <c r="AD38"/>
  <c r="S38"/>
  <c r="O38"/>
  <c r="I38"/>
  <c r="G38"/>
  <c r="E38"/>
  <c r="BJ37"/>
  <c r="H216" s="1"/>
  <c r="AI37"/>
  <c r="AE37"/>
  <c r="AD37"/>
  <c r="S37"/>
  <c r="AP37" s="1"/>
  <c r="O37"/>
  <c r="I37"/>
  <c r="G37"/>
  <c r="E37"/>
  <c r="BJ36"/>
  <c r="G216" s="1"/>
  <c r="AI36"/>
  <c r="AE36"/>
  <c r="AD36"/>
  <c r="S36"/>
  <c r="O36"/>
  <c r="I36"/>
  <c r="G36"/>
  <c r="E36"/>
  <c r="BJ35"/>
  <c r="F216" s="1"/>
  <c r="AI35"/>
  <c r="AE35"/>
  <c r="AD35"/>
  <c r="S35"/>
  <c r="O35"/>
  <c r="I35"/>
  <c r="G35"/>
  <c r="E35"/>
  <c r="BJ34"/>
  <c r="E216" s="1"/>
  <c r="AI34"/>
  <c r="AE34"/>
  <c r="AD34"/>
  <c r="S34"/>
  <c r="O34"/>
  <c r="I34"/>
  <c r="G34"/>
  <c r="E34"/>
  <c r="BJ33"/>
  <c r="D216" s="1"/>
  <c r="AI33"/>
  <c r="AE33"/>
  <c r="AD33"/>
  <c r="S33"/>
  <c r="O33"/>
  <c r="I33"/>
  <c r="G33"/>
  <c r="E33"/>
  <c r="BJ32"/>
  <c r="C216" s="1"/>
  <c r="AI32"/>
  <c r="AP32" s="1"/>
  <c r="AE32"/>
  <c r="AD32"/>
  <c r="S32"/>
  <c r="O32"/>
  <c r="I32"/>
  <c r="G32"/>
  <c r="E32"/>
  <c r="BJ31"/>
  <c r="H215" s="1"/>
  <c r="AI31"/>
  <c r="AE31"/>
  <c r="AD31"/>
  <c r="S31"/>
  <c r="AP31" s="1"/>
  <c r="O31"/>
  <c r="I31"/>
  <c r="G31"/>
  <c r="E31"/>
  <c r="BJ30"/>
  <c r="G215" s="1"/>
  <c r="AI30"/>
  <c r="AE30"/>
  <c r="AD30"/>
  <c r="S30"/>
  <c r="O30"/>
  <c r="I30"/>
  <c r="G30"/>
  <c r="E30"/>
  <c r="BJ29"/>
  <c r="F215" s="1"/>
  <c r="AI29"/>
  <c r="AE29"/>
  <c r="AD29"/>
  <c r="S29"/>
  <c r="O29"/>
  <c r="I29"/>
  <c r="G29"/>
  <c r="E29"/>
  <c r="BJ28"/>
  <c r="E215" s="1"/>
  <c r="AI28"/>
  <c r="AP28" s="1"/>
  <c r="AE28"/>
  <c r="AD28"/>
  <c r="S28"/>
  <c r="O28"/>
  <c r="I28"/>
  <c r="G28"/>
  <c r="E28"/>
  <c r="BJ27"/>
  <c r="D215" s="1"/>
  <c r="AI27"/>
  <c r="AE27"/>
  <c r="AD27"/>
  <c r="S27"/>
  <c r="AP27" s="1"/>
  <c r="O27"/>
  <c r="I27"/>
  <c r="G27"/>
  <c r="E27"/>
  <c r="BJ26"/>
  <c r="C215" s="1"/>
  <c r="AI26"/>
  <c r="AE26"/>
  <c r="AD26"/>
  <c r="T26"/>
  <c r="T27" s="1"/>
  <c r="T28" s="1"/>
  <c r="T29" s="1"/>
  <c r="T30" s="1"/>
  <c r="T31" s="1"/>
  <c r="T32" s="1"/>
  <c r="T33" s="1"/>
  <c r="T34" s="1"/>
  <c r="T35" s="1"/>
  <c r="T36" s="1"/>
  <c r="T37" s="1"/>
  <c r="T38" s="1"/>
  <c r="T39" s="1"/>
  <c r="T40" s="1"/>
  <c r="T41" s="1"/>
  <c r="T42" s="1"/>
  <c r="T43" s="1"/>
  <c r="T44" s="1"/>
  <c r="T45" s="1"/>
  <c r="T46" s="1"/>
  <c r="T47" s="1"/>
  <c r="T48" s="1"/>
  <c r="T49" s="1"/>
  <c r="T50" s="1"/>
  <c r="T51" s="1"/>
  <c r="T52" s="1"/>
  <c r="T53" s="1"/>
  <c r="T54" s="1"/>
  <c r="T55" s="1"/>
  <c r="S26"/>
  <c r="O26"/>
  <c r="I26"/>
  <c r="G26"/>
  <c r="E26"/>
  <c r="AN22"/>
  <c r="AN26" s="1"/>
  <c r="AN27" s="1"/>
  <c r="AN28" s="1"/>
  <c r="AN29" s="1"/>
  <c r="AN30" s="1"/>
  <c r="AN31" s="1"/>
  <c r="AN32" s="1"/>
  <c r="AN33" s="1"/>
  <c r="AN34" s="1"/>
  <c r="AN35" s="1"/>
  <c r="AN36" s="1"/>
  <c r="AN37" s="1"/>
  <c r="AN38" s="1"/>
  <c r="AN39" s="1"/>
  <c r="AN40" s="1"/>
  <c r="AN41" s="1"/>
  <c r="AN42" s="1"/>
  <c r="AN43" s="1"/>
  <c r="AN44" s="1"/>
  <c r="AN45" s="1"/>
  <c r="AN46" s="1"/>
  <c r="AN47" s="1"/>
  <c r="AN48" s="1"/>
  <c r="AN49" s="1"/>
  <c r="AN50" s="1"/>
  <c r="AN51" s="1"/>
  <c r="AN52" s="1"/>
  <c r="AN53" s="1"/>
  <c r="AN54" s="1"/>
  <c r="AN55" s="1"/>
  <c r="AM22"/>
  <c r="AI22"/>
  <c r="AP22" s="1"/>
  <c r="AE22"/>
  <c r="AD22"/>
  <c r="AN21"/>
  <c r="AM21"/>
  <c r="AI21"/>
  <c r="AT21" s="1"/>
  <c r="AV21" s="1"/>
  <c r="D202" s="1"/>
  <c r="AE21"/>
  <c r="AD21"/>
  <c r="BP20"/>
  <c r="AN20"/>
  <c r="AM20"/>
  <c r="AI20"/>
  <c r="AT20" s="1"/>
  <c r="AV20" s="1"/>
  <c r="C202" s="1"/>
  <c r="AE20"/>
  <c r="AD20"/>
  <c r="CV19"/>
  <c r="CW19" s="1"/>
  <c r="CO19" s="1"/>
  <c r="CR19"/>
  <c r="CQ19"/>
  <c r="CU19" s="1"/>
  <c r="AN19"/>
  <c r="AM19"/>
  <c r="AL19"/>
  <c r="AI19"/>
  <c r="AP19" s="1"/>
  <c r="AD19"/>
  <c r="CW18"/>
  <c r="CV18"/>
  <c r="CR18"/>
  <c r="AN18"/>
  <c r="AM18"/>
  <c r="AL18"/>
  <c r="AI18"/>
  <c r="AP18" s="1"/>
  <c r="AD18"/>
  <c r="CW17"/>
  <c r="CV17"/>
  <c r="CR17"/>
  <c r="AN17"/>
  <c r="AM17"/>
  <c r="AL17"/>
  <c r="AI17"/>
  <c r="AP17" s="1"/>
  <c r="AD17"/>
  <c r="CW16"/>
  <c r="CO16" s="1"/>
  <c r="CR16"/>
  <c r="AN16"/>
  <c r="AM16"/>
  <c r="AL16"/>
  <c r="AI16"/>
  <c r="AD16"/>
  <c r="CR15"/>
  <c r="CW15" s="1"/>
  <c r="CO15" s="1"/>
  <c r="AN15"/>
  <c r="AM15"/>
  <c r="AL15"/>
  <c r="AI15"/>
  <c r="AD15"/>
  <c r="CR14"/>
  <c r="CW14" s="1"/>
  <c r="CO14" s="1"/>
  <c r="AN14"/>
  <c r="AM14"/>
  <c r="AL14"/>
  <c r="AI14"/>
  <c r="AD14"/>
  <c r="CR13"/>
  <c r="CW13" s="1"/>
  <c r="CO13" s="1"/>
  <c r="AN13"/>
  <c r="AM13"/>
  <c r="AL13"/>
  <c r="AI13"/>
  <c r="AD13"/>
  <c r="CW12"/>
  <c r="CO12" s="1"/>
  <c r="CR12"/>
  <c r="AN12"/>
  <c r="AM12"/>
  <c r="AL12"/>
  <c r="AI12"/>
  <c r="AD12"/>
  <c r="S12" s="1"/>
  <c r="AT12" s="1"/>
  <c r="AV12" s="1"/>
  <c r="D204" s="1"/>
  <c r="CR11"/>
  <c r="CW11" s="1"/>
  <c r="CO11" s="1"/>
  <c r="AN11"/>
  <c r="AM11"/>
  <c r="AL11"/>
  <c r="J305" s="1"/>
  <c r="AI11"/>
  <c r="AD11"/>
  <c r="M306" s="1"/>
  <c r="U1"/>
  <c r="U2" s="1"/>
  <c r="A33" i="30"/>
  <c r="A32"/>
  <c r="A31"/>
  <c r="A30"/>
  <c r="A29"/>
  <c r="A28"/>
  <c r="A27"/>
  <c r="A26"/>
  <c r="A25"/>
  <c r="A24"/>
  <c r="A23"/>
  <c r="A22"/>
  <c r="A21"/>
  <c r="A20"/>
  <c r="A19"/>
  <c r="A18"/>
  <c r="A17"/>
  <c r="A16"/>
  <c r="A15"/>
  <c r="A14"/>
  <c r="A13"/>
  <c r="A12"/>
  <c r="A11"/>
  <c r="A10"/>
  <c r="A9"/>
  <c r="A8"/>
  <c r="A7"/>
  <c r="A6"/>
  <c r="A5"/>
  <c r="A4"/>
  <c r="B1"/>
  <c r="C1" s="1"/>
  <c r="D1" s="1"/>
  <c r="E1" s="1"/>
  <c r="F1" s="1"/>
  <c r="G1" s="1"/>
  <c r="H1" s="1"/>
  <c r="I1" s="1"/>
  <c r="J1" s="1"/>
  <c r="K1" s="1"/>
  <c r="L1" s="1"/>
  <c r="M1" s="1"/>
  <c r="N1" s="1"/>
  <c r="O1" s="1"/>
  <c r="P1" s="1"/>
  <c r="Q1" s="1"/>
  <c r="R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D77" i="27"/>
  <c r="B72"/>
  <c r="L65"/>
  <c r="K65"/>
  <c r="J65"/>
  <c r="I65"/>
  <c r="H65"/>
  <c r="G65"/>
  <c r="F65"/>
  <c r="E65"/>
  <c r="D65"/>
  <c r="C65"/>
  <c r="B65"/>
  <c r="B50"/>
  <c r="L48"/>
  <c r="K48"/>
  <c r="J48"/>
  <c r="I48"/>
  <c r="H48"/>
  <c r="G48"/>
  <c r="F48"/>
  <c r="E48"/>
  <c r="D48"/>
  <c r="C48"/>
  <c r="B48"/>
  <c r="B44"/>
  <c r="B41"/>
  <c r="B40"/>
  <c r="B45" s="1"/>
  <c r="B46" s="1"/>
  <c r="B65" i="5"/>
  <c r="B50"/>
  <c r="B48"/>
  <c r="B44"/>
  <c r="B41"/>
  <c r="B40"/>
  <c r="B45" s="1"/>
  <c r="S16" i="31" l="1"/>
  <c r="AT16" s="1"/>
  <c r="AV16" s="1"/>
  <c r="E205" s="1"/>
  <c r="AP54"/>
  <c r="S13"/>
  <c r="AT13" s="1"/>
  <c r="AV13" s="1"/>
  <c r="E204" s="1"/>
  <c r="AT35"/>
  <c r="AV35" s="1"/>
  <c r="AT43"/>
  <c r="AV43" s="1"/>
  <c r="AT51"/>
  <c r="AV51" s="1"/>
  <c r="AP29"/>
  <c r="AT33"/>
  <c r="AV33" s="1"/>
  <c r="AT41"/>
  <c r="AV41" s="1"/>
  <c r="AT49"/>
  <c r="AV49" s="1"/>
  <c r="B42" i="27"/>
  <c r="B43" s="1"/>
  <c r="D46" s="1"/>
  <c r="AP35" i="31"/>
  <c r="AP43"/>
  <c r="AP51"/>
  <c r="DL61"/>
  <c r="J23" i="33"/>
  <c r="J25"/>
  <c r="J27"/>
  <c r="J29"/>
  <c r="J31"/>
  <c r="B42" i="5"/>
  <c r="AP12" i="31"/>
  <c r="S15"/>
  <c r="AT15" s="1"/>
  <c r="AV15" s="1"/>
  <c r="D205" s="1"/>
  <c r="CO17"/>
  <c r="CO18"/>
  <c r="AO20"/>
  <c r="AR20" s="1"/>
  <c r="AP26"/>
  <c r="AP30"/>
  <c r="AP33"/>
  <c r="AP36"/>
  <c r="AT39"/>
  <c r="AV39" s="1"/>
  <c r="AP41"/>
  <c r="AP44"/>
  <c r="AT47"/>
  <c r="AV47" s="1"/>
  <c r="AP49"/>
  <c r="AP52"/>
  <c r="AT55"/>
  <c r="AV55" s="1"/>
  <c r="B46" i="5"/>
  <c r="B53" i="27"/>
  <c r="S14" i="31"/>
  <c r="AT14" s="1"/>
  <c r="AV14" s="1"/>
  <c r="AP15"/>
  <c r="B215"/>
  <c r="AT27"/>
  <c r="AV27" s="1"/>
  <c r="AT31"/>
  <c r="AV31" s="1"/>
  <c r="AP34"/>
  <c r="AT37"/>
  <c r="AV37" s="1"/>
  <c r="H205" s="1"/>
  <c r="AP42"/>
  <c r="B214"/>
  <c r="AT45"/>
  <c r="AV45" s="1"/>
  <c r="AP50"/>
  <c r="AT53"/>
  <c r="AV53" s="1"/>
  <c r="J4" i="33"/>
  <c r="H6"/>
  <c r="J6" s="1"/>
  <c r="J8"/>
  <c r="H10"/>
  <c r="J10" s="1"/>
  <c r="J12"/>
  <c r="H14"/>
  <c r="J14" s="1"/>
  <c r="J16"/>
  <c r="H18"/>
  <c r="J18" s="1"/>
  <c r="J20"/>
  <c r="H22"/>
  <c r="J22" s="1"/>
  <c r="J24"/>
  <c r="H26"/>
  <c r="J26" s="1"/>
  <c r="J28"/>
  <c r="H30"/>
  <c r="J30" s="1"/>
  <c r="J32"/>
  <c r="AP16" i="31"/>
  <c r="B213"/>
  <c r="B216"/>
  <c r="O305"/>
  <c r="AP14"/>
  <c r="B211"/>
  <c r="S11"/>
  <c r="AT11" s="1"/>
  <c r="AV11" s="1"/>
  <c r="AP20"/>
  <c r="AO22"/>
  <c r="AR22" s="1"/>
  <c r="AT26"/>
  <c r="AV26" s="1"/>
  <c r="AT28"/>
  <c r="AV28" s="1"/>
  <c r="AT30"/>
  <c r="AV30" s="1"/>
  <c r="AT32"/>
  <c r="AV32" s="1"/>
  <c r="AT34"/>
  <c r="AV34" s="1"/>
  <c r="AT36"/>
  <c r="AV36" s="1"/>
  <c r="G205" s="1"/>
  <c r="AT38"/>
  <c r="AV38" s="1"/>
  <c r="CZ38" s="1"/>
  <c r="AT40"/>
  <c r="AV40" s="1"/>
  <c r="AT42"/>
  <c r="AV42" s="1"/>
  <c r="AT44"/>
  <c r="AV44" s="1"/>
  <c r="AT46"/>
  <c r="AV46" s="1"/>
  <c r="AT48"/>
  <c r="AV48" s="1"/>
  <c r="AT50"/>
  <c r="AV50" s="1"/>
  <c r="AT52"/>
  <c r="AV52" s="1"/>
  <c r="AT54"/>
  <c r="AV54" s="1"/>
  <c r="G203"/>
  <c r="H204"/>
  <c r="F212"/>
  <c r="O304"/>
  <c r="AP21"/>
  <c r="AT22"/>
  <c r="AV22" s="1"/>
  <c r="E202" s="1"/>
  <c r="F203"/>
  <c r="G204"/>
  <c r="E212"/>
  <c r="AT17"/>
  <c r="AV17" s="1"/>
  <c r="AT18"/>
  <c r="AV18" s="1"/>
  <c r="D203" s="1"/>
  <c r="AT19"/>
  <c r="AV19" s="1"/>
  <c r="E203" s="1"/>
  <c r="J203" s="1"/>
  <c r="AO21"/>
  <c r="AR21" s="1"/>
  <c r="AT29"/>
  <c r="AV29" s="1"/>
  <c r="F204" s="1"/>
  <c r="J204"/>
  <c r="K205"/>
  <c r="D212"/>
  <c r="H212"/>
  <c r="I213"/>
  <c r="J214"/>
  <c r="K216"/>
  <c r="H203"/>
  <c r="I204"/>
  <c r="F205"/>
  <c r="J205"/>
  <c r="C212"/>
  <c r="B212" s="1"/>
  <c r="G212"/>
  <c r="K212"/>
  <c r="I214"/>
  <c r="B58" i="27"/>
  <c r="H102" s="1"/>
  <c r="J109" s="1"/>
  <c r="J107"/>
  <c r="B86"/>
  <c r="B90" s="1"/>
  <c r="C96" s="1"/>
  <c r="E122" s="1"/>
  <c r="E127" s="1"/>
  <c r="W28" i="13"/>
  <c r="Q28"/>
  <c r="J28"/>
  <c r="B28"/>
  <c r="W28" i="12"/>
  <c r="Q28"/>
  <c r="J28"/>
  <c r="B28"/>
  <c r="W28" i="11"/>
  <c r="Q28"/>
  <c r="J28"/>
  <c r="B28"/>
  <c r="W28" i="10"/>
  <c r="Q28"/>
  <c r="J28"/>
  <c r="B28"/>
  <c r="W28" i="9"/>
  <c r="Q28"/>
  <c r="J28"/>
  <c r="B28"/>
  <c r="W28" i="8"/>
  <c r="Q28"/>
  <c r="J28"/>
  <c r="B28"/>
  <c r="W24" i="7"/>
  <c r="Q24"/>
  <c r="J24"/>
  <c r="B24"/>
  <c r="D77" i="5"/>
  <c r="B72"/>
  <c r="L65"/>
  <c r="K65"/>
  <c r="J65"/>
  <c r="I65"/>
  <c r="H65"/>
  <c r="G65"/>
  <c r="F65"/>
  <c r="E65"/>
  <c r="D65"/>
  <c r="C65"/>
  <c r="L48"/>
  <c r="K48"/>
  <c r="J48"/>
  <c r="I48"/>
  <c r="H48"/>
  <c r="G48"/>
  <c r="F48"/>
  <c r="E48"/>
  <c r="D48"/>
  <c r="C48"/>
  <c r="B53" s="1"/>
  <c r="H16" i="12"/>
  <c r="H18"/>
  <c r="AP13" i="31" l="1"/>
  <c r="K214"/>
  <c r="CZ44"/>
  <c r="C204"/>
  <c r="B204" s="1"/>
  <c r="CZ11"/>
  <c r="J216"/>
  <c r="CZ50"/>
  <c r="CZ26"/>
  <c r="C205"/>
  <c r="B205" s="1"/>
  <c r="CZ14"/>
  <c r="CZ20"/>
  <c r="C203"/>
  <c r="CZ17"/>
  <c r="CZ32"/>
  <c r="I203"/>
  <c r="I212"/>
  <c r="J212"/>
  <c r="K203"/>
  <c r="B202"/>
  <c r="AP11"/>
  <c r="J213"/>
  <c r="K204"/>
  <c r="K213"/>
  <c r="I216"/>
  <c r="I205"/>
  <c r="B203"/>
  <c r="J107" i="5"/>
  <c r="B86"/>
  <c r="B90" s="1"/>
  <c r="C96" s="1"/>
  <c r="E122" s="1"/>
  <c r="B58"/>
  <c r="H102" s="1"/>
  <c r="B43"/>
  <c r="D46" s="1"/>
  <c r="H12" i="7"/>
  <c r="H14"/>
  <c r="H16" i="9"/>
  <c r="H18"/>
  <c r="H16" i="11"/>
  <c r="H18"/>
  <c r="H16" i="13"/>
  <c r="H18"/>
  <c r="H16" i="8"/>
  <c r="H18"/>
  <c r="H16" i="10"/>
  <c r="H18"/>
  <c r="C22" i="12" l="1"/>
  <c r="C22" i="10"/>
  <c r="C22" i="8"/>
  <c r="G1" i="6"/>
  <c r="G5" s="1"/>
  <c r="J109" i="5"/>
  <c r="C14" i="7" s="1"/>
  <c r="C22" i="13"/>
  <c r="C22" i="11"/>
  <c r="C22" i="9"/>
  <c r="C18" i="7"/>
  <c r="C20" i="13"/>
  <c r="C20" i="11"/>
  <c r="C20" i="9"/>
  <c r="C16" i="7"/>
  <c r="C20" i="12"/>
  <c r="C20" i="10"/>
  <c r="C20" i="8"/>
  <c r="E75" i="12" l="1"/>
  <c r="E75" i="8"/>
  <c r="E88" i="10"/>
  <c r="D67"/>
  <c r="AJ26"/>
  <c r="W26"/>
  <c r="J26"/>
  <c r="E92"/>
  <c r="D71"/>
  <c r="AC26"/>
  <c r="Q26"/>
  <c r="B26"/>
  <c r="E88" i="7"/>
  <c r="D67"/>
  <c r="AC22"/>
  <c r="Q22"/>
  <c r="B22"/>
  <c r="E84"/>
  <c r="D63"/>
  <c r="AJ22"/>
  <c r="W22"/>
  <c r="J22"/>
  <c r="E92" i="11"/>
  <c r="D71"/>
  <c r="AC26"/>
  <c r="Q26"/>
  <c r="B26"/>
  <c r="E88"/>
  <c r="D67"/>
  <c r="AJ26"/>
  <c r="W26"/>
  <c r="J26"/>
  <c r="AC26" i="7"/>
  <c r="AJ26"/>
  <c r="B26"/>
  <c r="J26"/>
  <c r="W26"/>
  <c r="Q26"/>
  <c r="E88" i="8"/>
  <c r="D67"/>
  <c r="AJ26"/>
  <c r="W26"/>
  <c r="J26"/>
  <c r="E92"/>
  <c r="D71"/>
  <c r="AC26"/>
  <c r="Q26"/>
  <c r="B26"/>
  <c r="E88" i="12"/>
  <c r="D67"/>
  <c r="AJ26"/>
  <c r="W26"/>
  <c r="J26"/>
  <c r="E92"/>
  <c r="D71"/>
  <c r="AC26"/>
  <c r="Q26"/>
  <c r="B26"/>
  <c r="E92" i="9"/>
  <c r="D71"/>
  <c r="AC26"/>
  <c r="Q26"/>
  <c r="B26"/>
  <c r="E88"/>
  <c r="D67"/>
  <c r="AJ26"/>
  <c r="W26"/>
  <c r="J26"/>
  <c r="E92" i="13"/>
  <c r="D71"/>
  <c r="AC26"/>
  <c r="Q26"/>
  <c r="B26"/>
  <c r="E88"/>
  <c r="D67"/>
  <c r="AJ26"/>
  <c r="W26"/>
  <c r="J26"/>
  <c r="L5" i="6"/>
  <c r="J2" i="13" s="1"/>
  <c r="M2" s="1"/>
  <c r="C18" s="1"/>
  <c r="J5" i="6"/>
  <c r="J2" i="11" s="1"/>
  <c r="M2" s="1"/>
  <c r="C18" s="1"/>
  <c r="H5" i="6"/>
  <c r="J2" i="9" s="1"/>
  <c r="M2" s="1"/>
  <c r="C18" s="1"/>
  <c r="K5" i="6"/>
  <c r="J2" i="12" s="1"/>
  <c r="M2" s="1"/>
  <c r="C18" s="1"/>
  <c r="I5" i="6"/>
  <c r="J2" i="10" s="1"/>
  <c r="M2" s="1"/>
  <c r="C18" s="1"/>
  <c r="J2" i="8"/>
  <c r="M2" s="1"/>
  <c r="C18" s="1"/>
  <c r="E71" i="7"/>
  <c r="E75" i="11"/>
  <c r="E75" i="9"/>
  <c r="E75" i="13"/>
  <c r="E75" i="10"/>
  <c r="AJ30" i="8" l="1"/>
  <c r="AK41" s="1"/>
  <c r="AC30"/>
  <c r="AD41" s="1"/>
  <c r="B30"/>
  <c r="C41" s="1"/>
  <c r="J30"/>
  <c r="W30"/>
  <c r="Q30"/>
  <c r="R41" s="1"/>
  <c r="AJ30" i="12"/>
  <c r="AC30"/>
  <c r="AD41" s="1"/>
  <c r="B30"/>
  <c r="C41" s="1"/>
  <c r="J30"/>
  <c r="K41" s="1"/>
  <c r="W30"/>
  <c r="X41" s="1"/>
  <c r="Q30"/>
  <c r="R41" s="1"/>
  <c r="AC30" i="11"/>
  <c r="AD41" s="1"/>
  <c r="AJ30"/>
  <c r="AK41" s="1"/>
  <c r="B30"/>
  <c r="C41" s="1"/>
  <c r="J30"/>
  <c r="K41" s="1"/>
  <c r="W30"/>
  <c r="Q30"/>
  <c r="R41" s="1"/>
  <c r="M43" i="13"/>
  <c r="K36"/>
  <c r="AM43"/>
  <c r="AK36"/>
  <c r="E43"/>
  <c r="C36"/>
  <c r="AF43"/>
  <c r="AD36"/>
  <c r="Z43" i="9"/>
  <c r="X36"/>
  <c r="T43"/>
  <c r="R36"/>
  <c r="E43" i="12"/>
  <c r="C36"/>
  <c r="AF43"/>
  <c r="AD36"/>
  <c r="Z43"/>
  <c r="X36"/>
  <c r="T43" i="8"/>
  <c r="R36"/>
  <c r="M43"/>
  <c r="K41"/>
  <c r="K36"/>
  <c r="AM43"/>
  <c r="AK36"/>
  <c r="T46" i="7"/>
  <c r="T43"/>
  <c r="R30"/>
  <c r="M46"/>
  <c r="M43"/>
  <c r="K30"/>
  <c r="AM46"/>
  <c r="AM43"/>
  <c r="AK30"/>
  <c r="M43" i="11"/>
  <c r="K36"/>
  <c r="AM43"/>
  <c r="AK36"/>
  <c r="E43"/>
  <c r="C36"/>
  <c r="AF43"/>
  <c r="AD36"/>
  <c r="Z39" i="7"/>
  <c r="X37"/>
  <c r="X32"/>
  <c r="X34" s="1"/>
  <c r="T39"/>
  <c r="R37"/>
  <c r="R32"/>
  <c r="R34" s="1"/>
  <c r="E43" i="10"/>
  <c r="C36"/>
  <c r="AF43"/>
  <c r="AD36"/>
  <c r="Z43"/>
  <c r="X36"/>
  <c r="E79" i="9"/>
  <c r="E79" i="12"/>
  <c r="E75" i="7"/>
  <c r="E79" i="10"/>
  <c r="AJ30"/>
  <c r="AC30"/>
  <c r="B30"/>
  <c r="C41" s="1"/>
  <c r="J30"/>
  <c r="K41" s="1"/>
  <c r="W30"/>
  <c r="X41" s="1"/>
  <c r="Q30"/>
  <c r="R41" s="1"/>
  <c r="AC30" i="9"/>
  <c r="AJ30"/>
  <c r="AK41" s="1"/>
  <c r="B30"/>
  <c r="C41" s="1"/>
  <c r="J30"/>
  <c r="K41" s="1"/>
  <c r="W30"/>
  <c r="X41" s="1"/>
  <c r="Q30"/>
  <c r="AC30" i="13"/>
  <c r="AJ30"/>
  <c r="B30"/>
  <c r="C41" s="1"/>
  <c r="J30"/>
  <c r="W30"/>
  <c r="X41" s="1"/>
  <c r="Q30"/>
  <c r="Z43"/>
  <c r="X36"/>
  <c r="T43"/>
  <c r="R36"/>
  <c r="M43" i="9"/>
  <c r="K36"/>
  <c r="AM43"/>
  <c r="AK36"/>
  <c r="E43"/>
  <c r="C36"/>
  <c r="AF43"/>
  <c r="AD41"/>
  <c r="AD36"/>
  <c r="T43" i="12"/>
  <c r="R36"/>
  <c r="M43"/>
  <c r="K36"/>
  <c r="AM43"/>
  <c r="AK41"/>
  <c r="AK36"/>
  <c r="E43" i="8"/>
  <c r="C36"/>
  <c r="AF43"/>
  <c r="AD36"/>
  <c r="Z43"/>
  <c r="X41"/>
  <c r="X36"/>
  <c r="Z46" i="7"/>
  <c r="Z43"/>
  <c r="X30"/>
  <c r="E46"/>
  <c r="E43"/>
  <c r="C30"/>
  <c r="AF46"/>
  <c r="AF43"/>
  <c r="AD30"/>
  <c r="Z43" i="11"/>
  <c r="X41"/>
  <c r="X36"/>
  <c r="T43"/>
  <c r="R36"/>
  <c r="M39" i="7"/>
  <c r="K37"/>
  <c r="K32"/>
  <c r="K34" s="1"/>
  <c r="AM39"/>
  <c r="AK37"/>
  <c r="AK32"/>
  <c r="AK34" s="1"/>
  <c r="E39"/>
  <c r="C37"/>
  <c r="C32"/>
  <c r="C34" s="1"/>
  <c r="AF39"/>
  <c r="AD37"/>
  <c r="AD32"/>
  <c r="AD34" s="1"/>
  <c r="T43" i="10"/>
  <c r="R36"/>
  <c r="M43"/>
  <c r="K36"/>
  <c r="AM43"/>
  <c r="AK41"/>
  <c r="AK36"/>
  <c r="E79" i="13"/>
  <c r="E79" i="8"/>
  <c r="E79" i="11"/>
  <c r="Z50" i="7" l="1"/>
  <c r="H132" s="1"/>
  <c r="T50" i="13"/>
  <c r="T47"/>
  <c r="R38"/>
  <c r="R34"/>
  <c r="M50"/>
  <c r="M47"/>
  <c r="K38"/>
  <c r="K34"/>
  <c r="AM50"/>
  <c r="AM47"/>
  <c r="AK38"/>
  <c r="AK34"/>
  <c r="T50" i="9"/>
  <c r="T47"/>
  <c r="R38"/>
  <c r="R34"/>
  <c r="M50"/>
  <c r="M47"/>
  <c r="K38"/>
  <c r="K34"/>
  <c r="AM50"/>
  <c r="AM47"/>
  <c r="AK38"/>
  <c r="AK34"/>
  <c r="T50" i="10"/>
  <c r="T47"/>
  <c r="R38"/>
  <c r="R34"/>
  <c r="M50"/>
  <c r="M47"/>
  <c r="K38"/>
  <c r="K34"/>
  <c r="AF50"/>
  <c r="AF47"/>
  <c r="AD38"/>
  <c r="AD34"/>
  <c r="T50" i="11"/>
  <c r="T47"/>
  <c r="R38"/>
  <c r="R34"/>
  <c r="M50"/>
  <c r="M47"/>
  <c r="K38"/>
  <c r="K34"/>
  <c r="AM50"/>
  <c r="AM47"/>
  <c r="AK38"/>
  <c r="AK34"/>
  <c r="T50" i="12"/>
  <c r="T47"/>
  <c r="R38"/>
  <c r="R34"/>
  <c r="M50"/>
  <c r="M47"/>
  <c r="K38"/>
  <c r="K34"/>
  <c r="AF50"/>
  <c r="AF47"/>
  <c r="AD38"/>
  <c r="AD34"/>
  <c r="T50" i="8"/>
  <c r="T47"/>
  <c r="R38"/>
  <c r="R34"/>
  <c r="M50"/>
  <c r="M47"/>
  <c r="K38"/>
  <c r="K34"/>
  <c r="AF50"/>
  <c r="AF47"/>
  <c r="AD38"/>
  <c r="AD34"/>
  <c r="AF50" i="7"/>
  <c r="E50"/>
  <c r="AM50"/>
  <c r="M50"/>
  <c r="T50"/>
  <c r="K41" i="13"/>
  <c r="Z50"/>
  <c r="Z47"/>
  <c r="X38"/>
  <c r="X34"/>
  <c r="E50"/>
  <c r="E47"/>
  <c r="C38"/>
  <c r="C34"/>
  <c r="AF50"/>
  <c r="AF47"/>
  <c r="AD38"/>
  <c r="AD34"/>
  <c r="Z50" i="9"/>
  <c r="Z47"/>
  <c r="X38"/>
  <c r="X34"/>
  <c r="E50"/>
  <c r="E47"/>
  <c r="C38"/>
  <c r="C34"/>
  <c r="AF50"/>
  <c r="AF47"/>
  <c r="AD38"/>
  <c r="AD34"/>
  <c r="Z50" i="10"/>
  <c r="Z47"/>
  <c r="X38"/>
  <c r="X34"/>
  <c r="E50"/>
  <c r="E47"/>
  <c r="C38"/>
  <c r="C34"/>
  <c r="AM50"/>
  <c r="AM47"/>
  <c r="AK38"/>
  <c r="AK34"/>
  <c r="Z50" i="11"/>
  <c r="Z47"/>
  <c r="X38"/>
  <c r="X34"/>
  <c r="E50"/>
  <c r="E47"/>
  <c r="C38"/>
  <c r="C34"/>
  <c r="AF50"/>
  <c r="AF47"/>
  <c r="AD38"/>
  <c r="AD34"/>
  <c r="Z50" i="12"/>
  <c r="Z47"/>
  <c r="X38"/>
  <c r="X34"/>
  <c r="E50"/>
  <c r="E47"/>
  <c r="C38"/>
  <c r="C34"/>
  <c r="AM50"/>
  <c r="AM47"/>
  <c r="AK38"/>
  <c r="AK34"/>
  <c r="Z50" i="8"/>
  <c r="Z47"/>
  <c r="X38"/>
  <c r="X34"/>
  <c r="E50"/>
  <c r="E47"/>
  <c r="C38"/>
  <c r="C34"/>
  <c r="AM50"/>
  <c r="AM47"/>
  <c r="AK38"/>
  <c r="AK34"/>
  <c r="R41" i="13"/>
  <c r="AD41" i="10"/>
  <c r="R41" i="9"/>
  <c r="AD41" i="13"/>
  <c r="AK41"/>
  <c r="M54" i="8" l="1"/>
  <c r="G127" s="1"/>
  <c r="AF54" i="12"/>
  <c r="T54"/>
  <c r="G132" s="1"/>
  <c r="M54" i="11"/>
  <c r="G127" s="1"/>
  <c r="M54" i="10"/>
  <c r="G107" s="1"/>
  <c r="AM54" i="9"/>
  <c r="AF54" i="8"/>
  <c r="T54"/>
  <c r="G111" s="1"/>
  <c r="M54" i="12"/>
  <c r="G107" s="1"/>
  <c r="AM54" i="11"/>
  <c r="T54"/>
  <c r="G111" s="1"/>
  <c r="T54" i="10"/>
  <c r="G132" s="1"/>
  <c r="M54" i="9"/>
  <c r="G107" s="1"/>
  <c r="AM54" i="8"/>
  <c r="E54"/>
  <c r="F57" s="1"/>
  <c r="Z54"/>
  <c r="H136" s="1"/>
  <c r="AM54" i="12"/>
  <c r="E54"/>
  <c r="F102" s="1"/>
  <c r="Z54"/>
  <c r="H136" s="1"/>
  <c r="AF54" i="11"/>
  <c r="E54"/>
  <c r="F102" s="1"/>
  <c r="Z54"/>
  <c r="H136" s="1"/>
  <c r="AM54" i="10"/>
  <c r="E54"/>
  <c r="F57" s="1"/>
  <c r="Z54"/>
  <c r="H136" s="1"/>
  <c r="AF54" i="9"/>
  <c r="E54"/>
  <c r="G123" s="1"/>
  <c r="Z54"/>
  <c r="H136" s="1"/>
  <c r="AF54" i="13"/>
  <c r="E54"/>
  <c r="G123" s="1"/>
  <c r="Z54"/>
  <c r="H136" s="1"/>
  <c r="G128" i="7"/>
  <c r="G107"/>
  <c r="E92"/>
  <c r="G123"/>
  <c r="G103"/>
  <c r="F53"/>
  <c r="G119"/>
  <c r="F98"/>
  <c r="G132" i="11"/>
  <c r="AF54" i="10"/>
  <c r="T54" i="9"/>
  <c r="AM54" i="13"/>
  <c r="M54"/>
  <c r="T54"/>
  <c r="E96" i="9" l="1"/>
  <c r="G127"/>
  <c r="F102" i="13"/>
  <c r="G111" i="12"/>
  <c r="G115" s="1"/>
  <c r="F102" i="9"/>
  <c r="G127" i="10"/>
  <c r="G107" i="8"/>
  <c r="G123"/>
  <c r="E96"/>
  <c r="G123" i="11"/>
  <c r="C141" s="1"/>
  <c r="E96" i="13"/>
  <c r="G123" i="12"/>
  <c r="G107" i="11"/>
  <c r="G115" s="1"/>
  <c r="G123" i="10"/>
  <c r="E96" i="11"/>
  <c r="G111" i="10"/>
  <c r="G132" i="8"/>
  <c r="E96" i="10"/>
  <c r="F57" i="9"/>
  <c r="F102" i="8"/>
  <c r="E96" i="12"/>
  <c r="F102" i="10"/>
  <c r="F57" i="12"/>
  <c r="F57" i="13"/>
  <c r="G127" i="12"/>
  <c r="C137" i="7"/>
  <c r="F57" i="11"/>
  <c r="G132" i="13"/>
  <c r="G111"/>
  <c r="G111" i="7"/>
  <c r="G107" i="13"/>
  <c r="G127"/>
  <c r="G132" i="9"/>
  <c r="G111"/>
  <c r="G115" i="10" l="1"/>
  <c r="C141"/>
  <c r="C141" i="9"/>
  <c r="G115" i="8"/>
  <c r="G115" i="9"/>
  <c r="G115" i="13"/>
  <c r="J139" i="7"/>
  <c r="E114" i="5" s="1"/>
  <c r="C141" i="8"/>
  <c r="C141" i="12"/>
  <c r="J143" s="1"/>
  <c r="K7" i="6" s="1"/>
  <c r="K9" s="1"/>
  <c r="C141" i="13"/>
  <c r="J143" s="1"/>
  <c r="L7" i="6" s="1"/>
  <c r="J143" i="11"/>
  <c r="J7" i="6" s="1"/>
  <c r="J9" s="1"/>
  <c r="J143" i="10" l="1"/>
  <c r="I7" i="6" s="1"/>
  <c r="I9" s="1"/>
  <c r="J143" i="9"/>
  <c r="H7" i="6" s="1"/>
  <c r="H9" s="1"/>
  <c r="J143" i="8"/>
  <c r="B115" i="5" s="1"/>
  <c r="K11" i="6"/>
  <c r="J11"/>
  <c r="I11"/>
  <c r="L11"/>
  <c r="L9"/>
  <c r="H11" l="1"/>
  <c r="G7"/>
  <c r="G9" l="1"/>
  <c r="G11"/>
</calcChain>
</file>

<file path=xl/comments1.xml><?xml version="1.0" encoding="utf-8"?>
<comments xmlns="http://schemas.openxmlformats.org/spreadsheetml/2006/main">
  <authors>
    <author>stboone</author>
  </authors>
  <commentList>
    <comment ref="BP20" authorId="0">
      <text>
        <r>
          <rPr>
            <b/>
            <sz val="8"/>
            <color indexed="81"/>
            <rFont val="Tahoma"/>
            <family val="2"/>
          </rPr>
          <t>stboone:</t>
        </r>
        <r>
          <rPr>
            <sz val="8"/>
            <color indexed="81"/>
            <rFont val="Tahoma"/>
            <family val="2"/>
          </rPr>
          <t xml:space="preserve">
Runs were at approximately 25% Capacity. These 3 runs composed the lowest stack test reported for continental oil units. However, the unit load of 25% is not comparable to other the other full load tests submitted in the ICR. Without this test Mystic was not the top rated unit.</t>
        </r>
      </text>
    </comment>
  </commentList>
</comments>
</file>

<file path=xl/comments2.xml><?xml version="1.0" encoding="utf-8"?>
<comments xmlns="http://schemas.openxmlformats.org/spreadsheetml/2006/main">
  <authors>
    <author>stboone</author>
  </authors>
  <commentList>
    <comment ref="J3" authorId="0">
      <text>
        <r>
          <rPr>
            <b/>
            <sz val="8"/>
            <color indexed="81"/>
            <rFont val="Tahoma"/>
            <family val="2"/>
          </rPr>
          <t>stboone:</t>
        </r>
        <r>
          <rPr>
            <sz val="8"/>
            <color indexed="81"/>
            <rFont val="Tahoma"/>
            <family val="2"/>
          </rPr>
          <t xml:space="preserve">
Tests were conducted prior to installation of ESP. Tests were excluded from floor analysis.</t>
        </r>
      </text>
    </comment>
  </commentList>
</comments>
</file>

<file path=xl/sharedStrings.xml><?xml version="1.0" encoding="utf-8"?>
<sst xmlns="http://schemas.openxmlformats.org/spreadsheetml/2006/main" count="5825" uniqueCount="934">
  <si>
    <t>Runs</t>
  </si>
  <si>
    <t>Testing Normality</t>
  </si>
  <si>
    <t>Raw Data</t>
  </si>
  <si>
    <t>Sample Size</t>
  </si>
  <si>
    <t>Kurtosis</t>
  </si>
  <si>
    <t>SE Kurtosis</t>
  </si>
  <si>
    <t>Result Kurtosis</t>
  </si>
  <si>
    <t>Skewness</t>
  </si>
  <si>
    <t>SE Skewness</t>
  </si>
  <si>
    <t>Result Skewness</t>
  </si>
  <si>
    <t>ni = number test runs =</t>
  </si>
  <si>
    <t>Total Number of sources =</t>
  </si>
  <si>
    <t>n =Total # test runs =</t>
  </si>
  <si>
    <t>This step is for QC only:</t>
  </si>
  <si>
    <t>means</t>
  </si>
  <si>
    <t>Mean =</t>
  </si>
  <si>
    <t xml:space="preserve">Pooled Variance = </t>
  </si>
  <si>
    <t>m= number future runs =</t>
  </si>
  <si>
    <t>Term1</t>
  </si>
  <si>
    <t>Term2</t>
  </si>
  <si>
    <t>Squared root Term2</t>
  </si>
  <si>
    <t>NOTE: the pvalue for the t-statistic is calculated as: 2*alpha, where 1-alpha is desired confidence, so if 99% confidence is desired then alpha=0.01 and 2*alpha=2*(0.01)</t>
  </si>
  <si>
    <t>t-statistic</t>
  </si>
  <si>
    <t>= quantile t-distribution with df degrees of freedom at .99 confidence level =</t>
  </si>
  <si>
    <t>Emissions</t>
  </si>
  <si>
    <t>RESULT</t>
  </si>
  <si>
    <t xml:space="preserve">Adjustment for non-normality (skewness and kurtosis) for any sample size in particular for small samples </t>
  </si>
  <si>
    <t>a) n = number of test-runs =</t>
  </si>
  <si>
    <t>b) Calculate u0</t>
  </si>
  <si>
    <t>Current Confidence Level is</t>
  </si>
  <si>
    <t>Conclusion</t>
  </si>
  <si>
    <t>new t-statistic from tab Recalculate t-statistic</t>
  </si>
  <si>
    <t>Adjusted UPL for skewness and kurtosis for all sample size</t>
  </si>
  <si>
    <t>1) Start with initial t-statistic from Template</t>
  </si>
  <si>
    <t>2) Determine interval of differences for t-values</t>
  </si>
  <si>
    <t>2) Candidate values for t-statistic</t>
  </si>
  <si>
    <t>3) Corrected p-values</t>
  </si>
  <si>
    <t>Acutal significance level with t-value</t>
  </si>
  <si>
    <t>4) Is p-value closed enough to 0.01?</t>
  </si>
  <si>
    <t>5) Once you get a YES, use the t-statistic in the calculations of the UPL.</t>
  </si>
  <si>
    <t>Calculate the Incomplete Beta Functions needed for adjustment</t>
  </si>
  <si>
    <t>Incomplete Beta Function approximation</t>
  </si>
  <si>
    <t>where</t>
  </si>
  <si>
    <t>Inputs</t>
  </si>
  <si>
    <t>skewness=</t>
  </si>
  <si>
    <t>x=u0=</t>
  </si>
  <si>
    <t>kurtosis=</t>
  </si>
  <si>
    <t>n=</t>
  </si>
  <si>
    <t>t0=t=</t>
  </si>
  <si>
    <t xml:space="preserve">c.1.) Calculate </t>
  </si>
  <si>
    <t xml:space="preserve">d.1.) Calculate </t>
  </si>
  <si>
    <t xml:space="preserve">e.1.) Calculate </t>
  </si>
  <si>
    <t xml:space="preserve">f.1.) Calculate </t>
  </si>
  <si>
    <t xml:space="preserve">g.1.) Calculate </t>
  </si>
  <si>
    <t>a=</t>
  </si>
  <si>
    <t>b=</t>
  </si>
  <si>
    <t>w=</t>
  </si>
  <si>
    <t>Calculations</t>
  </si>
  <si>
    <t xml:space="preserve">c.1.1. </t>
  </si>
  <si>
    <t xml:space="preserve">d.1.1. </t>
  </si>
  <si>
    <t xml:space="preserve">e.1.1. </t>
  </si>
  <si>
    <t xml:space="preserve">f.1.1. </t>
  </si>
  <si>
    <t xml:space="preserve">g.1.1. </t>
  </si>
  <si>
    <t xml:space="preserve">c.1.2. </t>
  </si>
  <si>
    <t xml:space="preserve">d.1.2. </t>
  </si>
  <si>
    <t xml:space="preserve">e.1.2. </t>
  </si>
  <si>
    <t xml:space="preserve">f.1.2. </t>
  </si>
  <si>
    <t xml:space="preserve">g.1.2. </t>
  </si>
  <si>
    <t>c.1.3</t>
  </si>
  <si>
    <t>d.1.3</t>
  </si>
  <si>
    <t>e.1.3</t>
  </si>
  <si>
    <t>f.1.3</t>
  </si>
  <si>
    <t>g.1.3</t>
  </si>
  <si>
    <t>c.1.4.</t>
  </si>
  <si>
    <t>d.1.4.</t>
  </si>
  <si>
    <t>e.1.4.</t>
  </si>
  <si>
    <t>f.1.4.</t>
  </si>
  <si>
    <t>g.1.4.</t>
  </si>
  <si>
    <t>c.1.5.</t>
  </si>
  <si>
    <t>d.1.5.</t>
  </si>
  <si>
    <t>e.1.5.</t>
  </si>
  <si>
    <t>f.1.5.</t>
  </si>
  <si>
    <t>g.1.5.</t>
  </si>
  <si>
    <t>c.1.6</t>
  </si>
  <si>
    <t>d.1.6</t>
  </si>
  <si>
    <t>e.1.6</t>
  </si>
  <si>
    <t>f.1.6</t>
  </si>
  <si>
    <t>g.1.6</t>
  </si>
  <si>
    <t>c.1.7</t>
  </si>
  <si>
    <t>d.1.7</t>
  </si>
  <si>
    <t>e.1.7</t>
  </si>
  <si>
    <t>f.1.7</t>
  </si>
  <si>
    <t>g.1.7</t>
  </si>
  <si>
    <t>Result1:</t>
  </si>
  <si>
    <t>Result2:</t>
  </si>
  <si>
    <t>Result3:</t>
  </si>
  <si>
    <t>Result4:</t>
  </si>
  <si>
    <t>Result5:</t>
  </si>
  <si>
    <t>1- Calculate</t>
  </si>
  <si>
    <t>2- Calculate</t>
  </si>
  <si>
    <t>2.1. Calculate</t>
  </si>
  <si>
    <t>2.2. Calculate</t>
  </si>
  <si>
    <t>2.3. Calculate</t>
  </si>
  <si>
    <t>Result:</t>
  </si>
  <si>
    <t>3-Calculate</t>
  </si>
  <si>
    <t>3.1. Calculate</t>
  </si>
  <si>
    <t>3.2. Calculate</t>
  </si>
  <si>
    <t>Result</t>
  </si>
  <si>
    <t>4-Calculate</t>
  </si>
  <si>
    <t>4.1. Calculate</t>
  </si>
  <si>
    <t>4.2. Calculate</t>
  </si>
  <si>
    <t>4.3. Calculate</t>
  </si>
  <si>
    <t>5- Calculate</t>
  </si>
  <si>
    <t>5.1. Calculate</t>
  </si>
  <si>
    <t>5.2. Calculate</t>
  </si>
  <si>
    <t>5.3. Calculate</t>
  </si>
  <si>
    <t>5.4. Calculate</t>
  </si>
  <si>
    <t>Corrected probability is::</t>
  </si>
  <si>
    <t>Calculate u0. Sustitute each candidate t-value in u0 equation</t>
  </si>
  <si>
    <t>t-statistic=</t>
  </si>
  <si>
    <t>u0=</t>
  </si>
  <si>
    <t>Step 1.  Identify size of sample set.</t>
  </si>
  <si>
    <t>Step 2.  Identify Normality of sample set.</t>
  </si>
  <si>
    <t>Statistical tests of the kurtosis and skewness are used to evaluate the normality assumption.</t>
  </si>
  <si>
    <r>
      <t xml:space="preserve">If the Kurtosis and Skewness tests show that raw data is Not Normal, move on to </t>
    </r>
    <r>
      <rPr>
        <b/>
        <sz val="10"/>
        <rFont val="Arial"/>
        <family val="2"/>
      </rPr>
      <t>Step 3</t>
    </r>
    <r>
      <rPr>
        <sz val="10"/>
        <rFont val="Arial"/>
        <family val="2"/>
      </rPr>
      <t>.</t>
    </r>
  </si>
  <si>
    <t>Step 3.  Transform raw data to lognormal data.</t>
  </si>
  <si>
    <t>Step 4.  Apply Skewness Adjustment.</t>
  </si>
  <si>
    <t xml:space="preserve">Step 5.  </t>
  </si>
  <si>
    <t xml:space="preserve">Step 6.  </t>
  </si>
  <si>
    <t>Things to keep in mind:</t>
  </si>
  <si>
    <t>Type of data affects m (number of future runs) that will be used in calculation, for example:</t>
  </si>
  <si>
    <t>N = total number of sources</t>
  </si>
  <si>
    <t>n = number of individual runs</t>
  </si>
  <si>
    <t>df = degrees of freedom = n - 1</t>
  </si>
  <si>
    <t>X = mean of data</t>
  </si>
  <si>
    <r>
      <t>s</t>
    </r>
    <r>
      <rPr>
        <vertAlign val="superscript"/>
        <sz val="10"/>
        <color indexed="8"/>
        <rFont val="Arial"/>
        <family val="2"/>
      </rPr>
      <t>2</t>
    </r>
    <r>
      <rPr>
        <sz val="10"/>
        <color indexed="8"/>
        <rFont val="Arial"/>
        <family val="2"/>
      </rPr>
      <t xml:space="preserve"> = pooled vaiance of data</t>
    </r>
  </si>
  <si>
    <t>m = number of future runs</t>
  </si>
  <si>
    <r>
      <t>t</t>
    </r>
    <r>
      <rPr>
        <vertAlign val="subscript"/>
        <sz val="10"/>
        <color indexed="8"/>
        <rFont val="Arial"/>
        <family val="2"/>
      </rPr>
      <t>df</t>
    </r>
    <r>
      <rPr>
        <sz val="10"/>
        <color indexed="8"/>
        <rFont val="Arial"/>
        <family val="2"/>
      </rPr>
      <t xml:space="preserve"> = t-statistic:  t-distribution with df degrees of freedom at .99 confidence level </t>
    </r>
  </si>
  <si>
    <t>Step 5. Instructions</t>
  </si>
  <si>
    <t>8) The template will calculate the UPL for you in cell E122.</t>
  </si>
  <si>
    <t>For data sets that are Non Normal &amp; Non Lognormal with n&lt;13</t>
  </si>
  <si>
    <t xml:space="preserve">Calculations are in the tabs: Recalculations1 to Recalculations6. You don’t need to worry about them, they are basically duplicates of tab “Calculations_for_Template” and each one use a different value of the candidate t-values in row 5.  </t>
  </si>
  <si>
    <t>### Make sure that kurtosis and skewness are copied in "Calculations for Template", in cells H14 and H12 respectively</t>
  </si>
  <si>
    <r>
      <t xml:space="preserve">If you have three or less runs in your entire sample set, skip down to </t>
    </r>
    <r>
      <rPr>
        <b/>
        <sz val="10"/>
        <rFont val="Arial"/>
        <family val="2"/>
      </rPr>
      <t>Step 6</t>
    </r>
    <r>
      <rPr>
        <sz val="10"/>
        <rFont val="Arial"/>
        <family val="2"/>
      </rPr>
      <t xml:space="preserve">.  </t>
    </r>
  </si>
  <si>
    <r>
      <t>If you have more than three runs in your entire sample set, start in the "</t>
    </r>
    <r>
      <rPr>
        <b/>
        <i/>
        <sz val="10"/>
        <rFont val="Arial"/>
        <family val="2"/>
      </rPr>
      <t>UPL Pooled Template</t>
    </r>
    <r>
      <rPr>
        <sz val="10"/>
        <rFont val="Arial"/>
        <family val="2"/>
      </rPr>
      <t>"  and test for normality in cells B45:B51.  If the Kurtosis and Skewness tests show that raw data is Normal, you may continue to use the "</t>
    </r>
    <r>
      <rPr>
        <b/>
        <i/>
        <sz val="10"/>
        <rFont val="Arial"/>
        <family val="2"/>
      </rPr>
      <t>UPL Pooled Template</t>
    </r>
    <r>
      <rPr>
        <sz val="10"/>
        <rFont val="Arial"/>
        <family val="2"/>
      </rPr>
      <t>".</t>
    </r>
  </si>
  <si>
    <r>
      <t>In the "</t>
    </r>
    <r>
      <rPr>
        <b/>
        <i/>
        <sz val="10"/>
        <rFont val="Arial"/>
        <family val="2"/>
      </rPr>
      <t>Lognormal Template</t>
    </r>
    <r>
      <rPr>
        <sz val="10"/>
        <rFont val="Arial"/>
        <family val="2"/>
      </rPr>
      <t>", take the LN() of the raw data in cells B55:L89 and test the normality again of the LN-data transformed in cells C45:C51.</t>
    </r>
  </si>
  <si>
    <r>
      <t>If Kurtosis and Skewness tests show that the LN-data transformed is Lognormal, continue to use the "</t>
    </r>
    <r>
      <rPr>
        <b/>
        <i/>
        <sz val="10"/>
        <rFont val="Arial"/>
        <family val="2"/>
      </rPr>
      <t>Lognormal Template</t>
    </r>
    <r>
      <rPr>
        <sz val="10"/>
        <rFont val="Arial"/>
        <family val="2"/>
      </rPr>
      <t>".</t>
    </r>
  </si>
  <si>
    <r>
      <t xml:space="preserve">If Kurtosis and Skewness tests show that the LN-data transformed is Not Lognormal, move on to </t>
    </r>
    <r>
      <rPr>
        <b/>
        <sz val="10"/>
        <rFont val="Arial"/>
        <family val="2"/>
      </rPr>
      <t>Step 4</t>
    </r>
    <r>
      <rPr>
        <sz val="10"/>
        <rFont val="Arial"/>
        <family val="2"/>
      </rPr>
      <t>.</t>
    </r>
  </si>
  <si>
    <r>
      <t>For data that is Not Normal and Not Lognormal, use the "</t>
    </r>
    <r>
      <rPr>
        <b/>
        <i/>
        <sz val="10"/>
        <rFont val="Arial"/>
        <family val="2"/>
      </rPr>
      <t>Skewness Adjustment Template</t>
    </r>
    <r>
      <rPr>
        <sz val="10"/>
        <rFont val="Arial"/>
        <family val="2"/>
      </rPr>
      <t>"</t>
    </r>
    <r>
      <rPr>
        <b/>
        <i/>
        <sz val="10"/>
        <rFont val="Arial"/>
        <family val="2"/>
      </rPr>
      <t xml:space="preserve">.  </t>
    </r>
    <r>
      <rPr>
        <sz val="10"/>
        <rFont val="Arial"/>
        <family val="2"/>
      </rPr>
      <t xml:space="preserve">This is essentially the UPL Pooled Template with a Skewness Adjustment.  Note:  DO NOT not use this template if n&lt;13 (n is number of individual runs).   </t>
    </r>
  </si>
  <si>
    <r>
      <t xml:space="preserve">For data that is Not Normal and Not Lognormal with n&lt;13, move on to </t>
    </r>
    <r>
      <rPr>
        <b/>
        <sz val="10"/>
        <rFont val="Arial"/>
        <family val="2"/>
      </rPr>
      <t>Step 5</t>
    </r>
    <r>
      <rPr>
        <sz val="10"/>
        <rFont val="Arial"/>
        <family val="2"/>
      </rPr>
      <t>.</t>
    </r>
  </si>
  <si>
    <r>
      <t>See "</t>
    </r>
    <r>
      <rPr>
        <b/>
        <i/>
        <sz val="10"/>
        <color theme="1"/>
        <rFont val="Arial"/>
        <family val="2"/>
      </rPr>
      <t>Step 5. Intructions</t>
    </r>
    <r>
      <rPr>
        <sz val="10"/>
        <color theme="1"/>
        <rFont val="Arial"/>
        <family val="2"/>
      </rPr>
      <t>" tab</t>
    </r>
  </si>
  <si>
    <r>
      <t>See "</t>
    </r>
    <r>
      <rPr>
        <b/>
        <i/>
        <sz val="10"/>
        <color theme="1"/>
        <rFont val="Arial"/>
        <family val="2"/>
      </rPr>
      <t>Step 6. Intructions</t>
    </r>
    <r>
      <rPr>
        <i/>
        <sz val="10"/>
        <color theme="1"/>
        <rFont val="Arial"/>
        <family val="2"/>
      </rPr>
      <t>"</t>
    </r>
    <r>
      <rPr>
        <sz val="10"/>
        <color theme="1"/>
        <rFont val="Arial"/>
        <family val="2"/>
      </rPr>
      <t xml:space="preserve"> tab</t>
    </r>
  </si>
  <si>
    <t xml:space="preserve">If the average of three test runs is used to determine compliance; m=3 </t>
  </si>
  <si>
    <t xml:space="preserve">If 30-day averages are used to determine compliance; m=30 </t>
  </si>
  <si>
    <r>
      <t>1)</t>
    </r>
    <r>
      <rPr>
        <sz val="10"/>
        <rFont val="Times New Roman"/>
        <family val="1"/>
      </rPr>
      <t xml:space="preserve">    </t>
    </r>
    <r>
      <rPr>
        <sz val="10"/>
        <rFont val="Arial"/>
        <family val="2"/>
      </rPr>
      <t>Go to the "</t>
    </r>
    <r>
      <rPr>
        <b/>
        <i/>
        <sz val="10"/>
        <rFont val="Arial"/>
        <family val="2"/>
      </rPr>
      <t>Template_nonnormal</t>
    </r>
    <r>
      <rPr>
        <sz val="10"/>
        <rFont val="Arial"/>
        <family val="2"/>
      </rPr>
      <t>" tab.  The adjustment starts in Row 150.  Copy the kurtosis value (B41) and skewness value (B44) in the "</t>
    </r>
    <r>
      <rPr>
        <b/>
        <i/>
        <sz val="10"/>
        <rFont val="Arial"/>
        <family val="2"/>
      </rPr>
      <t>Template_nonnormal</t>
    </r>
    <r>
      <rPr>
        <sz val="10"/>
        <rFont val="Arial"/>
        <family val="2"/>
      </rPr>
      <t>" tab into cells H14 and H12 respectively of the "</t>
    </r>
    <r>
      <rPr>
        <b/>
        <i/>
        <sz val="10"/>
        <rFont val="Arial"/>
        <family val="2"/>
      </rPr>
      <t>Calculations for Template</t>
    </r>
    <r>
      <rPr>
        <sz val="10"/>
        <rFont val="Arial"/>
        <family val="2"/>
      </rPr>
      <t>" tab.</t>
    </r>
  </si>
  <si>
    <r>
      <t>2)</t>
    </r>
    <r>
      <rPr>
        <sz val="10"/>
        <rFont val="Times New Roman"/>
        <family val="1"/>
      </rPr>
      <t xml:space="preserve">    </t>
    </r>
    <r>
      <rPr>
        <sz val="10"/>
        <rFont val="Arial"/>
        <family val="2"/>
      </rPr>
      <t>Cell E114 of the "</t>
    </r>
    <r>
      <rPr>
        <b/>
        <i/>
        <sz val="10"/>
        <rFont val="Arial"/>
        <family val="2"/>
      </rPr>
      <t>Template_nonnormal</t>
    </r>
    <r>
      <rPr>
        <sz val="10"/>
        <rFont val="Arial"/>
        <family val="2"/>
      </rPr>
      <t xml:space="preserve">" tab shows the actual confidence level (1 - 'Calculations for Template'!J139) after accounting for the skewness and kurtosis.  If the confidence level is larger than 99.00% or lower than 99.00% then we need to adjust the t-statistic. </t>
    </r>
  </si>
  <si>
    <r>
      <t>3)</t>
    </r>
    <r>
      <rPr>
        <sz val="10"/>
        <rFont val="Times New Roman"/>
        <family val="1"/>
      </rPr>
      <t xml:space="preserve">    </t>
    </r>
    <r>
      <rPr>
        <sz val="10"/>
        <rFont val="Arial"/>
        <family val="2"/>
      </rPr>
      <t>Row 115 of the "</t>
    </r>
    <r>
      <rPr>
        <b/>
        <i/>
        <sz val="10"/>
        <rFont val="Arial"/>
        <family val="2"/>
      </rPr>
      <t>Template_nonnormal</t>
    </r>
    <r>
      <rPr>
        <sz val="10"/>
        <rFont val="Arial"/>
        <family val="2"/>
      </rPr>
      <t>" tab uses the IF function in EXCEL to conclude about the need to adjust or not.  If you don’t need to adjust (because the difference between the actual level and 99.00% is not that large) then you can use the t-statistic in cell H102 of the "</t>
    </r>
    <r>
      <rPr>
        <b/>
        <i/>
        <sz val="10"/>
        <rFont val="Arial"/>
        <family val="2"/>
      </rPr>
      <t>Template_nonnormal</t>
    </r>
    <r>
      <rPr>
        <sz val="10"/>
        <rFont val="Arial"/>
        <family val="2"/>
      </rPr>
      <t>" tab.  If the difference is significant, then you need to adjust the t-statistic.</t>
    </r>
  </si>
  <si>
    <r>
      <t>4)</t>
    </r>
    <r>
      <rPr>
        <sz val="10"/>
        <rFont val="Times New Roman"/>
        <family val="1"/>
      </rPr>
      <t xml:space="preserve">    </t>
    </r>
    <r>
      <rPr>
        <sz val="10"/>
        <rFont val="Arial"/>
        <family val="2"/>
      </rPr>
      <t>The “</t>
    </r>
    <r>
      <rPr>
        <b/>
        <i/>
        <sz val="10"/>
        <rFont val="Arial"/>
        <family val="2"/>
      </rPr>
      <t>Calculations_for_Template</t>
    </r>
    <r>
      <rPr>
        <sz val="10"/>
        <rFont val="Arial"/>
        <family val="2"/>
      </rPr>
      <t>” tab has the calculations for the confidence level for the first t-statistic in cell H102 from the“</t>
    </r>
    <r>
      <rPr>
        <b/>
        <i/>
        <sz val="10"/>
        <rFont val="Arial"/>
        <family val="2"/>
      </rPr>
      <t>Template_nonnormal</t>
    </r>
    <r>
      <rPr>
        <sz val="10"/>
        <rFont val="Arial"/>
        <family val="2"/>
      </rPr>
      <t>” tab.  Input values for this tab are obtained from the “</t>
    </r>
    <r>
      <rPr>
        <b/>
        <i/>
        <sz val="10"/>
        <rFont val="Arial"/>
        <family val="2"/>
      </rPr>
      <t>Template_nonnormal</t>
    </r>
    <r>
      <rPr>
        <sz val="10"/>
        <rFont val="Arial"/>
        <family val="2"/>
      </rPr>
      <t>” tab, so you don’t need to worry about it.</t>
    </r>
  </si>
  <si>
    <r>
      <t>5)</t>
    </r>
    <r>
      <rPr>
        <sz val="10"/>
        <rFont val="Times New Roman"/>
        <family val="1"/>
      </rPr>
      <t xml:space="preserve">    </t>
    </r>
    <r>
      <rPr>
        <sz val="10"/>
        <rFont val="Arial"/>
        <family val="2"/>
      </rPr>
      <t>To adjust the t-statistic go to the “</t>
    </r>
    <r>
      <rPr>
        <b/>
        <i/>
        <sz val="10"/>
        <rFont val="Arial"/>
        <family val="2"/>
      </rPr>
      <t>Recalculate t-stat</t>
    </r>
    <r>
      <rPr>
        <sz val="10"/>
        <rFont val="Arial"/>
        <family val="2"/>
      </rPr>
      <t>” tab. This tab starts with the t-statistic in cell H102 from the “</t>
    </r>
    <r>
      <rPr>
        <b/>
        <i/>
        <sz val="10"/>
        <rFont val="Arial"/>
        <family val="2"/>
      </rPr>
      <t>Template_nonnormal</t>
    </r>
    <r>
      <rPr>
        <sz val="10"/>
        <rFont val="Arial"/>
        <family val="2"/>
      </rPr>
      <t>” tab.  If the confidence level from cell E114 of the "</t>
    </r>
    <r>
      <rPr>
        <b/>
        <i/>
        <sz val="10"/>
        <rFont val="Arial"/>
        <family val="2"/>
      </rPr>
      <t>Template_nonnormal</t>
    </r>
    <r>
      <rPr>
        <sz val="10"/>
        <rFont val="Arial"/>
        <family val="2"/>
      </rPr>
      <t>" tab  was larger or lower THAN 99.00% you need to decrease or increase the t-statistic so you get closer to 99.00%.  Cell G3 has the value of the increase also called "interval", the candidate t-values will be calculated as the t-value in cell H102 plus multiples of the interval, for example if the t-value is 2, and the interval is 0.3, then the candidate t-values are: 2.03, 2.06, 2.09, 3.12, etc.  These are calculated automatically for you in row 5 after a value is placed in cell G3. The corresponding p-values and confidence levels are also calculated automatically for you.  Cell G3, the “interval” can be manipulated. For example, start with 0.1 and notice what the values in row 9 are.  If they are not 99.00% keep increaseing or decreasing the value in G3 until one of the values in row 9 is 99.00% and you get a "YES" value in row 11 in the same column.  You may have to go out to several significant figures.</t>
    </r>
  </si>
  <si>
    <r>
      <t>6)</t>
    </r>
    <r>
      <rPr>
        <sz val="10"/>
        <rFont val="Times New Roman"/>
        <family val="1"/>
      </rPr>
      <t xml:space="preserve">    </t>
    </r>
    <r>
      <rPr>
        <sz val="10"/>
        <rFont val="Arial"/>
        <family val="2"/>
      </rPr>
      <t>Sometimes the  actual significance level in cell E114 of tab “</t>
    </r>
    <r>
      <rPr>
        <b/>
        <i/>
        <sz val="10"/>
        <rFont val="Arial"/>
        <family val="2"/>
      </rPr>
      <t>Template_nonnormal</t>
    </r>
    <r>
      <rPr>
        <sz val="10"/>
        <rFont val="Arial"/>
        <family val="2"/>
      </rPr>
      <t>” is larger than 99%, then you have to use a negative interval (meaning that your value in cell G3, tab “</t>
    </r>
    <r>
      <rPr>
        <b/>
        <i/>
        <sz val="10"/>
        <rFont val="Arial"/>
        <family val="2"/>
      </rPr>
      <t>Recalculate t-stat</t>
    </r>
    <r>
      <rPr>
        <sz val="10"/>
        <rFont val="Arial"/>
        <family val="2"/>
      </rPr>
      <t>” has to be negative), for example instead of 0.389, it has to be -0.389 or another negative number.</t>
    </r>
  </si>
  <si>
    <r>
      <t>7)</t>
    </r>
    <r>
      <rPr>
        <sz val="10"/>
        <rFont val="Times New Roman"/>
        <family val="1"/>
      </rPr>
      <t xml:space="preserve">    </t>
    </r>
    <r>
      <rPr>
        <sz val="10"/>
        <rFont val="Arial"/>
        <family val="2"/>
      </rPr>
      <t>Once you get the adjusted t-value from tab “</t>
    </r>
    <r>
      <rPr>
        <b/>
        <i/>
        <sz val="10"/>
        <rFont val="Arial"/>
        <family val="2"/>
      </rPr>
      <t>Recalculate t-stat</t>
    </r>
    <r>
      <rPr>
        <sz val="10"/>
        <rFont val="Arial"/>
        <family val="2"/>
      </rPr>
      <t>”, you copy the t-value and paste special the value into cell E119 in tab “</t>
    </r>
    <r>
      <rPr>
        <b/>
        <i/>
        <sz val="10"/>
        <rFont val="Arial"/>
        <family val="2"/>
      </rPr>
      <t>Template_nonnormal</t>
    </r>
    <r>
      <rPr>
        <sz val="10"/>
        <rFont val="Arial"/>
        <family val="2"/>
      </rPr>
      <t>”.</t>
    </r>
  </si>
  <si>
    <t xml:space="preserve">h.1.1. </t>
  </si>
  <si>
    <t xml:space="preserve">h.1.2. </t>
  </si>
  <si>
    <t>h.1.3</t>
  </si>
  <si>
    <t>h.1.4.</t>
  </si>
  <si>
    <t>h.1.5.</t>
  </si>
  <si>
    <t>h.1.6</t>
  </si>
  <si>
    <t>h.1.7</t>
  </si>
  <si>
    <t>Result6:</t>
  </si>
  <si>
    <t xml:space="preserve">h.1.) Calculate </t>
  </si>
  <si>
    <t>4) If you don't get a YES in row 11, play around with the cell G3, the interval for differences until you get one p-value closed to 0.01</t>
  </si>
  <si>
    <t>Go back to Template_nonnormal tab and paste the value in row 5 that has a Yes in row 11.</t>
  </si>
  <si>
    <r>
      <t xml:space="preserve">Copy the new t-value in cell E119 </t>
    </r>
    <r>
      <rPr>
        <b/>
        <i/>
        <sz val="11"/>
        <color theme="1"/>
        <rFont val="Calibri"/>
        <family val="2"/>
        <scheme val="minor"/>
      </rPr>
      <t>Template_nonnormal</t>
    </r>
  </si>
  <si>
    <r>
      <t xml:space="preserve">Large: When N (total number of sources) ≥ </t>
    </r>
    <r>
      <rPr>
        <sz val="10"/>
        <color theme="3"/>
        <rFont val="Arial"/>
        <family val="2"/>
      </rPr>
      <t>20</t>
    </r>
    <r>
      <rPr>
        <sz val="10"/>
        <color theme="1"/>
        <rFont val="Arial"/>
        <family val="2"/>
      </rPr>
      <t>.  For a large sample set can assume normal distribution based on the Central Limit Theorem; use the "</t>
    </r>
    <r>
      <rPr>
        <b/>
        <i/>
        <sz val="10"/>
        <color theme="1"/>
        <rFont val="Arial"/>
        <family val="2"/>
      </rPr>
      <t>UPL Pooled Template</t>
    </r>
    <r>
      <rPr>
        <sz val="10"/>
        <color theme="1"/>
        <rFont val="Arial"/>
        <family val="2"/>
      </rPr>
      <t>" .</t>
    </r>
  </si>
  <si>
    <r>
      <t xml:space="preserve">Small: When N (total number of sources) &lt; </t>
    </r>
    <r>
      <rPr>
        <sz val="10"/>
        <color theme="3"/>
        <rFont val="Arial"/>
        <family val="2"/>
      </rPr>
      <t>20</t>
    </r>
    <r>
      <rPr>
        <sz val="10"/>
        <color theme="1"/>
        <rFont val="Arial"/>
        <family val="2"/>
      </rPr>
      <t xml:space="preserve">.  For a small sample set the Central Limit Theorem cannot be used to support the normality assumption; move on to </t>
    </r>
    <r>
      <rPr>
        <b/>
        <sz val="10"/>
        <color theme="1"/>
        <rFont val="Arial"/>
        <family val="2"/>
      </rPr>
      <t>Step 2</t>
    </r>
    <r>
      <rPr>
        <sz val="10"/>
        <color theme="1"/>
        <rFont val="Arial"/>
        <family val="2"/>
      </rPr>
      <t>.</t>
    </r>
  </si>
  <si>
    <t>interval of differences for t-values used</t>
  </si>
  <si>
    <t>1588
Port Everglades
PPE3</t>
  </si>
  <si>
    <t>Confidence Level is not 99%, Go to recalculate tab to fix the Confidence Level</t>
  </si>
  <si>
    <t>617
Port Everglades
PPE3</t>
  </si>
  <si>
    <t>facility_name</t>
  </si>
  <si>
    <t>Reason_for_Removal as top ranked unit for fPM new source floor</t>
  </si>
  <si>
    <t>facility_ID</t>
  </si>
  <si>
    <t>boiler_id</t>
  </si>
  <si>
    <t>configuration_id</t>
  </si>
  <si>
    <t>compound</t>
  </si>
  <si>
    <t>EF_1mg</t>
  </si>
  <si>
    <t>Final_EF_Units</t>
  </si>
  <si>
    <t>From</t>
  </si>
  <si>
    <t>BDL</t>
  </si>
  <si>
    <t>Report_id</t>
  </si>
  <si>
    <t>CountOfRuns</t>
  </si>
  <si>
    <t>Submittal_ID_ERT</t>
  </si>
  <si>
    <t>lb/MMBtu</t>
  </si>
  <si>
    <t>Config_heat_rate_MMBtu/MWh</t>
  </si>
  <si>
    <t>UPL lb/MWh</t>
  </si>
  <si>
    <t>fPM_Min_lb_per_MWh_Rank</t>
  </si>
  <si>
    <t>1588_7</t>
  </si>
  <si>
    <t>Mystic Generating Station</t>
  </si>
  <si>
    <t>The submitted test results with the lowest emission rate for Mystic Unit 7 were associated with a performance test at approximately 25 percent of full capacity. After removal of this test, Mystic was no longer ranked as the best performing source in the subcategory.</t>
  </si>
  <si>
    <t>7</t>
  </si>
  <si>
    <t>Filterable Particulate</t>
  </si>
  <si>
    <t>Part II</t>
  </si>
  <si>
    <t>0</t>
  </si>
  <si>
    <t>PM-4</t>
  </si>
  <si>
    <t>Test was conducted at 25% of full load.</t>
  </si>
  <si>
    <t>Removal of the lowest test for Mystic, made Port Everglades Unit 3, the best performer.</t>
  </si>
  <si>
    <t>PM-3</t>
  </si>
  <si>
    <t>Test was conducted while burning &gt;60% Natural Gas.</t>
  </si>
  <si>
    <t>Exclusion of the low load test is consistent with the provisions of §63.10007(a)(2) which state," If you conduct performance testing with test methods in lieu of continuous monitoring, operate the unit at maximum normal operating load conditions during each periodic (e.g., quarterly) performance test. Maximum normal operating load will be generally between 90 and 110 percent of design capacity but should be representative of site specific normal operations during each test run." All other tests submitted for Mystic were at significantly higher loads than the excluded test.</t>
  </si>
  <si>
    <t>PM-1</t>
  </si>
  <si>
    <t>PM-2</t>
  </si>
  <si>
    <t>617_PPE3</t>
  </si>
  <si>
    <t>Port Everglades</t>
  </si>
  <si>
    <t>New Source Floor Unit</t>
  </si>
  <si>
    <t>PPE3</t>
  </si>
  <si>
    <t>PPE03</t>
  </si>
  <si>
    <t>PPE03 2009</t>
  </si>
  <si>
    <t>ERT</t>
  </si>
  <si>
    <t>No</t>
  </si>
  <si>
    <t/>
  </si>
  <si>
    <t>This test reflects an average of concurrent M29 and OTM27 Runs.</t>
  </si>
  <si>
    <t>PPE03 2007</t>
  </si>
  <si>
    <t>PPE03 2008</t>
  </si>
  <si>
    <t>617_PPE1</t>
  </si>
  <si>
    <t>PPE1</t>
  </si>
  <si>
    <t>PPE01</t>
  </si>
  <si>
    <t>PPE01 2006</t>
  </si>
  <si>
    <t>PPE01 2009</t>
  </si>
  <si>
    <t>PPE01 2008</t>
  </si>
  <si>
    <t>PPE01 2007</t>
  </si>
  <si>
    <t>548_2</t>
  </si>
  <si>
    <t>Norwalk - Norwalk Power LLC</t>
  </si>
  <si>
    <t>2</t>
  </si>
  <si>
    <t>562_2</t>
  </si>
  <si>
    <t>Middletown</t>
  </si>
  <si>
    <t>617_PPE4</t>
  </si>
  <si>
    <t>PPE4</t>
  </si>
  <si>
    <t>PPE04</t>
  </si>
  <si>
    <t>PPE04 2007</t>
  </si>
  <si>
    <t>PPE04 2009</t>
  </si>
  <si>
    <t>PPE04 2008</t>
  </si>
  <si>
    <t>617_PPE2</t>
  </si>
  <si>
    <t>PPE2</t>
  </si>
  <si>
    <t>PPE02</t>
  </si>
  <si>
    <t>PPE02 2007</t>
  </si>
  <si>
    <t>PPE02 2009</t>
  </si>
  <si>
    <t>PPE02 2006</t>
  </si>
  <si>
    <t>PPE02 2008</t>
  </si>
  <si>
    <t>2493_60</t>
  </si>
  <si>
    <t>East River</t>
  </si>
  <si>
    <t>60</t>
  </si>
  <si>
    <t>022007</t>
  </si>
  <si>
    <t>8906_40</t>
  </si>
  <si>
    <t>Astoria Generating Station</t>
  </si>
  <si>
    <t>40</t>
  </si>
  <si>
    <t>A-S0003</t>
  </si>
  <si>
    <t>Particulate 40</t>
  </si>
  <si>
    <t>621_PTF1</t>
  </si>
  <si>
    <t>Turkey Point</t>
  </si>
  <si>
    <t>PTF1</t>
  </si>
  <si>
    <t>PTF01</t>
  </si>
  <si>
    <t>PTF01 2007</t>
  </si>
  <si>
    <t>PTF01 2006</t>
  </si>
  <si>
    <t>PTF01 2008</t>
  </si>
  <si>
    <t>PTF01 2009</t>
  </si>
  <si>
    <t>PTF01 2005</t>
  </si>
  <si>
    <t>2516_3</t>
  </si>
  <si>
    <t>Northport</t>
  </si>
  <si>
    <t>3</t>
  </si>
  <si>
    <t>Unit3</t>
  </si>
  <si>
    <t>621_PTF2</t>
  </si>
  <si>
    <t>PTF2</t>
  </si>
  <si>
    <t>PTF02</t>
  </si>
  <si>
    <t>PTF02 2007</t>
  </si>
  <si>
    <t>PTF02 2006</t>
  </si>
  <si>
    <t>PTF02 2005</t>
  </si>
  <si>
    <t>PTF02 2008</t>
  </si>
  <si>
    <t>PTF02 2009</t>
  </si>
  <si>
    <t>6043_PMR2</t>
  </si>
  <si>
    <t>Martin</t>
  </si>
  <si>
    <t>PMR2</t>
  </si>
  <si>
    <t>PMR02</t>
  </si>
  <si>
    <t>PMR 2 Compliance 2008</t>
  </si>
  <si>
    <t>PMR 2 Compliance 2007</t>
  </si>
  <si>
    <t>PMR 2 Compliance 2006</t>
  </si>
  <si>
    <t>PMR 2 Compliance 2009</t>
  </si>
  <si>
    <t>PMR 2 Compliance 2005</t>
  </si>
  <si>
    <t>609_PCC1</t>
  </si>
  <si>
    <t>Cape Canaveral</t>
  </si>
  <si>
    <t>PCC1</t>
  </si>
  <si>
    <t>PCC01</t>
  </si>
  <si>
    <t>PCC 1 Particulate 2008</t>
  </si>
  <si>
    <t>PCC 1 Particulate 2009</t>
  </si>
  <si>
    <t>PCC 1 Particulate 2005</t>
  </si>
  <si>
    <t>PCC 1 Particulate 2007</t>
  </si>
  <si>
    <t>PCC 1 Particulate 2006</t>
  </si>
  <si>
    <t>6042_PMT2</t>
  </si>
  <si>
    <t>Manatee</t>
  </si>
  <si>
    <t>PMT2</t>
  </si>
  <si>
    <t>PMT02</t>
  </si>
  <si>
    <t>PMT 2 Particulate 2008</t>
  </si>
  <si>
    <t>PMT 2 Particulate 2005</t>
  </si>
  <si>
    <t>PMT 2 Particulate 2009</t>
  </si>
  <si>
    <t>PMT Particulate 2007</t>
  </si>
  <si>
    <t>PMT 2 Pariculate 2006</t>
  </si>
  <si>
    <t>2493_70</t>
  </si>
  <si>
    <t>70</t>
  </si>
  <si>
    <t>032007</t>
  </si>
  <si>
    <t>667_3</t>
  </si>
  <si>
    <t>Northside Generating Station</t>
  </si>
  <si>
    <t>N3_2009_PMNSB</t>
  </si>
  <si>
    <t>N3_2008_PMNSB</t>
  </si>
  <si>
    <t>N3_2008_PMSB</t>
  </si>
  <si>
    <t>N3_2006_PMNSB</t>
  </si>
  <si>
    <t>N3_2007_PMNSB</t>
  </si>
  <si>
    <t>N3_2007_PMSB</t>
  </si>
  <si>
    <t>N3_2009_PMSB</t>
  </si>
  <si>
    <t>N3_2005_PMNSB</t>
  </si>
  <si>
    <t>N3_2006_PMSB</t>
  </si>
  <si>
    <t>N3_2005_PMSB</t>
  </si>
  <si>
    <t>2516_2</t>
  </si>
  <si>
    <t>Unit2</t>
  </si>
  <si>
    <t>6043_PMR1</t>
  </si>
  <si>
    <t>PMR1</t>
  </si>
  <si>
    <t>PMR01</t>
  </si>
  <si>
    <t>PMR 1 Compliance 2008</t>
  </si>
  <si>
    <t>PMR 1 Compliance 2005</t>
  </si>
  <si>
    <t>PMR 1 Compliance 2007</t>
  </si>
  <si>
    <t>PMR 1 Compliance 2006</t>
  </si>
  <si>
    <t>PMR 1 Compliance 2009</t>
  </si>
  <si>
    <t>8906_50</t>
  </si>
  <si>
    <t>50</t>
  </si>
  <si>
    <t>A-S0004</t>
  </si>
  <si>
    <t>Particulate 50</t>
  </si>
  <si>
    <t>8906_30</t>
  </si>
  <si>
    <t>30</t>
  </si>
  <si>
    <t>A-S0002</t>
  </si>
  <si>
    <t>Particulate 30</t>
  </si>
  <si>
    <t>6042_PMT1</t>
  </si>
  <si>
    <t>PMT1</t>
  </si>
  <si>
    <t>PMT01</t>
  </si>
  <si>
    <t>PMT 1 Particulate 2008</t>
  </si>
  <si>
    <t>PMT 1 Particulate 2007</t>
  </si>
  <si>
    <t>PMT 1 Particulate 2009</t>
  </si>
  <si>
    <t>PMT 1 Particulate 2005</t>
  </si>
  <si>
    <t>PMT 1 Particulate 2006</t>
  </si>
  <si>
    <t>2517_4</t>
  </si>
  <si>
    <t>Port Jefferson</t>
  </si>
  <si>
    <t>4</t>
  </si>
  <si>
    <t>Unit4</t>
  </si>
  <si>
    <t>2050_1</t>
  </si>
  <si>
    <t>Baxter Wilson</t>
  </si>
  <si>
    <t>1</t>
  </si>
  <si>
    <t>001</t>
  </si>
  <si>
    <t>609_PPC2</t>
  </si>
  <si>
    <t>PPC2</t>
  </si>
  <si>
    <t>PCC02</t>
  </si>
  <si>
    <t>PCC 2 Particulate 2009</t>
  </si>
  <si>
    <t>PCC 2 Particulate 2008</t>
  </si>
  <si>
    <t>PCC 2 Particulate 2007</t>
  </si>
  <si>
    <t>PCC 2 Particulate 2005</t>
  </si>
  <si>
    <t>PCC 2 Particulate 2006</t>
  </si>
  <si>
    <t>8054_1</t>
  </si>
  <si>
    <t>Gerald Andrus</t>
  </si>
  <si>
    <t>619_PRV4</t>
  </si>
  <si>
    <t>Riviera</t>
  </si>
  <si>
    <t>PRV4</t>
  </si>
  <si>
    <t>PRV04</t>
  </si>
  <si>
    <t>PRV 4 Particulate 2008</t>
  </si>
  <si>
    <t>PRV 4 Particulate 2009</t>
  </si>
  <si>
    <t>PRV 4 Particulate 2005</t>
  </si>
  <si>
    <t>PRV 4 Particulate 2007</t>
  </si>
  <si>
    <t>PRV 4 Particulate 2006</t>
  </si>
  <si>
    <t>619_PRV3</t>
  </si>
  <si>
    <t>PRV3</t>
  </si>
  <si>
    <t>PRV03</t>
  </si>
  <si>
    <t>PRV 3 Particulate 2007</t>
  </si>
  <si>
    <t>PRV 3 Particulate 2008</t>
  </si>
  <si>
    <t>PRV 3 Particulate 2005</t>
  </si>
  <si>
    <t>PRV 3 Particulate 2009</t>
  </si>
  <si>
    <t>PRV 3 Particulate 2006</t>
  </si>
  <si>
    <t>715_1</t>
  </si>
  <si>
    <t>McManus</t>
  </si>
  <si>
    <t>Unit 1</t>
  </si>
  <si>
    <t>Key</t>
  </si>
  <si>
    <t>primary_fuel</t>
  </si>
  <si>
    <t>ORIS Code</t>
  </si>
  <si>
    <t>Plant Name</t>
  </si>
  <si>
    <t>Unit Type</t>
  </si>
  <si>
    <t>boiler_type</t>
  </si>
  <si>
    <t>MWe_capacity</t>
  </si>
  <si>
    <t>max_heat_input</t>
  </si>
  <si>
    <t>Report_id (Part II)</t>
  </si>
  <si>
    <t>Count of Runs</t>
  </si>
  <si>
    <t>Count of Methods</t>
  </si>
  <si>
    <t>Submittal_ID (ERT)</t>
  </si>
  <si>
    <t>MaxOfEF_Changed</t>
  </si>
  <si>
    <t>Submitted_EF (lb/MMBtu)</t>
  </si>
  <si>
    <t>AvgOf1mg</t>
  </si>
  <si>
    <t>lb/MWh for UPL</t>
  </si>
  <si>
    <t>control_group_1</t>
  </si>
  <si>
    <t>control_type_1</t>
  </si>
  <si>
    <t>install_date_1</t>
  </si>
  <si>
    <t>control_group_2</t>
  </si>
  <si>
    <t>control_type_2</t>
  </si>
  <si>
    <t>install_date_2</t>
  </si>
  <si>
    <t>control_group_3</t>
  </si>
  <si>
    <t>control_type_3</t>
  </si>
  <si>
    <t>install_date_3</t>
  </si>
  <si>
    <t>control_group_4</t>
  </si>
  <si>
    <t>control_type_4</t>
  </si>
  <si>
    <t>install_date_4</t>
  </si>
  <si>
    <t>control_group_5</t>
  </si>
  <si>
    <t>control_type_5</t>
  </si>
  <si>
    <t>install_date_5</t>
  </si>
  <si>
    <t>control_group_6</t>
  </si>
  <si>
    <t>control_type_6</t>
  </si>
  <si>
    <t>install_date_6</t>
  </si>
  <si>
    <t>control_group_7</t>
  </si>
  <si>
    <t>control_type_7</t>
  </si>
  <si>
    <t>install_date_7</t>
  </si>
  <si>
    <t>control_group_8</t>
  </si>
  <si>
    <t>control_type_8</t>
  </si>
  <si>
    <t>install_date_8</t>
  </si>
  <si>
    <t>control_group_9</t>
  </si>
  <si>
    <t>control_type_9</t>
  </si>
  <si>
    <t>install_date_9</t>
  </si>
  <si>
    <t>control_group_10</t>
  </si>
  <si>
    <t>control_type_10</t>
  </si>
  <si>
    <t>install_date_10</t>
  </si>
  <si>
    <t>control_group_11</t>
  </si>
  <si>
    <t>control_type_11</t>
  </si>
  <si>
    <t>install_date_11</t>
  </si>
  <si>
    <t>control_group_12</t>
  </si>
  <si>
    <t>control_type_12</t>
  </si>
  <si>
    <t>install_date_12</t>
  </si>
  <si>
    <t>oil</t>
  </si>
  <si>
    <t>Conventional Boiler</t>
  </si>
  <si>
    <t>Tangential firing</t>
  </si>
  <si>
    <t>PM control</t>
  </si>
  <si>
    <t>Electrostatic precipitator, cold side, w/o flue gas conditioning</t>
  </si>
  <si>
    <t>Wall firing - front firing</t>
  </si>
  <si>
    <t>NOx control</t>
  </si>
  <si>
    <t>Selective Noncatalytic Reduction</t>
  </si>
  <si>
    <t>Electrostatic precipitator, hot side, w/o flue gas conditioning</t>
  </si>
  <si>
    <t>Wall firing - opposed firing</t>
  </si>
  <si>
    <t>Multiple cyclone</t>
  </si>
  <si>
    <t>Wall firing - unspecified</t>
  </si>
  <si>
    <t>QA</t>
  </si>
  <si>
    <t>ORIS code</t>
  </si>
  <si>
    <t>physical_state</t>
  </si>
  <si>
    <t>Unit Number</t>
  </si>
  <si>
    <t>Boiler_heat_rate</t>
  </si>
  <si>
    <t>Fuel types</t>
  </si>
  <si>
    <t>Filterable Particulate - ERT</t>
  </si>
  <si>
    <t>Filterable Particulate MW - ERT</t>
  </si>
  <si>
    <t>Filterable Particulate - Part II</t>
  </si>
  <si>
    <t>Filterable Particulate MW - Part II</t>
  </si>
  <si>
    <t>Filterable Particulate - min</t>
  </si>
  <si>
    <t>Filterable Particulate MW - min</t>
  </si>
  <si>
    <t>MMBtu/hr</t>
  </si>
  <si>
    <t>MW</t>
  </si>
  <si>
    <t>MMBtu/MWh</t>
  </si>
  <si>
    <t>lb/MW</t>
  </si>
  <si>
    <t>MA</t>
  </si>
  <si>
    <t>No.6 Fuel Oil (residual or bunker C)</t>
  </si>
  <si>
    <t>FL</t>
  </si>
  <si>
    <t>CT</t>
  </si>
  <si>
    <t>NY</t>
  </si>
  <si>
    <t>No.6 Fuel Oil (residual or bunker C),  other--Natural Gas</t>
  </si>
  <si>
    <t>Charles Poletti Power Project</t>
  </si>
  <si>
    <t>01</t>
  </si>
  <si>
    <t>MS</t>
  </si>
  <si>
    <t>GA</t>
  </si>
  <si>
    <t>Anthracite</t>
  </si>
  <si>
    <t>fPM</t>
  </si>
  <si>
    <t>30B</t>
  </si>
  <si>
    <t>μg/dscm</t>
  </si>
  <si>
    <t>See Row 300</t>
  </si>
  <si>
    <t>lbs/μg</t>
  </si>
  <si>
    <t>cm/cf</t>
  </si>
  <si>
    <t>lb/hr</t>
  </si>
  <si>
    <t>Round to</t>
  </si>
  <si>
    <t xml:space="preserve">From </t>
  </si>
  <si>
    <t>original database export===&gt;</t>
  </si>
  <si>
    <t>Bituminous</t>
  </si>
  <si>
    <t>Se</t>
  </si>
  <si>
    <t>M5</t>
  </si>
  <si>
    <t>lb/dscf</t>
  </si>
  <si>
    <t>Yes</t>
  </si>
  <si>
    <t>for Explanation</t>
  </si>
  <si>
    <t>ppm</t>
  </si>
  <si>
    <t>lb/mg</t>
  </si>
  <si>
    <t xml:space="preserve">Same </t>
  </si>
  <si>
    <t xml:space="preserve">Min </t>
  </si>
  <si>
    <t>Lignite</t>
  </si>
  <si>
    <t>Pb</t>
  </si>
  <si>
    <t>M5B</t>
  </si>
  <si>
    <t>of Terms in</t>
  </si>
  <si>
    <t>lb fPM/MMBtu</t>
  </si>
  <si>
    <t>lb/scf</t>
  </si>
  <si>
    <t xml:space="preserve">Sig Figs </t>
  </si>
  <si>
    <t>Test</t>
  </si>
  <si>
    <t>Oil</t>
  </si>
  <si>
    <t>Hg</t>
  </si>
  <si>
    <t>M29</t>
  </si>
  <si>
    <t>ppm @ 3% O2</t>
  </si>
  <si>
    <t>Rows 11 to 22</t>
  </si>
  <si>
    <t>as Submitted</t>
  </si>
  <si>
    <t>Sheet</t>
  </si>
  <si>
    <t>Pet Coke</t>
  </si>
  <si>
    <t>HCl</t>
  </si>
  <si>
    <t>OTM27</t>
  </si>
  <si>
    <t>ppm @ 7% O2</t>
  </si>
  <si>
    <t xml:space="preserve">prior to </t>
  </si>
  <si>
    <t>Subbituminous</t>
  </si>
  <si>
    <t>Sub Bituminous</t>
  </si>
  <si>
    <t>SO2</t>
  </si>
  <si>
    <t>26A</t>
  </si>
  <si>
    <t>Calc % Diff.</t>
  </si>
  <si>
    <t>Gas</t>
  </si>
  <si>
    <t>M6C</t>
  </si>
  <si>
    <t>RTI</t>
  </si>
  <si>
    <t>As Submitted</t>
  </si>
  <si>
    <t>RTI QA</t>
  </si>
  <si>
    <t>1 mg fPM basis per EPA</t>
  </si>
  <si>
    <t>RTI-QA</t>
  </si>
  <si>
    <t>Final for UPL</t>
  </si>
  <si>
    <t>Comments</t>
  </si>
  <si>
    <t>Original Data</t>
  </si>
  <si>
    <t>Use Run in UPL Calc?</t>
  </si>
  <si>
    <t>Grade</t>
  </si>
  <si>
    <t>Facility_Name</t>
  </si>
  <si>
    <t>Facility_ID</t>
  </si>
  <si>
    <t>Boiler_ID</t>
  </si>
  <si>
    <t>Fuel1 Used</t>
  </si>
  <si>
    <t>Fuel1 Fraction</t>
  </si>
  <si>
    <t>Fuel2 Used</t>
  </si>
  <si>
    <t>Fuel2 Fraction</t>
  </si>
  <si>
    <t>"Fuel Used/Fraction" Data Source</t>
  </si>
  <si>
    <t>Pollutant</t>
  </si>
  <si>
    <t>Reference Method</t>
  </si>
  <si>
    <t>Concentration</t>
  </si>
  <si>
    <t>Concentration UOM</t>
  </si>
  <si>
    <t>Non-Detect?</t>
  </si>
  <si>
    <t>1 x MDL</t>
  </si>
  <si>
    <t>1 x MDL UOM</t>
  </si>
  <si>
    <t>HAP Conversion Value to lbs</t>
  </si>
  <si>
    <t>HAP Conversion UOM</t>
  </si>
  <si>
    <t>Volume Conversion Value to cubic feet</t>
  </si>
  <si>
    <t>Reserve</t>
  </si>
  <si>
    <t>Volume Conversion UOM</t>
  </si>
  <si>
    <t>Submitted F Factor</t>
  </si>
  <si>
    <t>Bws (percent)</t>
  </si>
  <si>
    <t>%O2d</t>
  </si>
  <si>
    <t>%CO2d</t>
  </si>
  <si>
    <t>Emission Rate Value</t>
  </si>
  <si>
    <t>Emission Rate UOM</t>
  </si>
  <si>
    <t>Emission Rate MDL</t>
  </si>
  <si>
    <t>Emission Factor Value</t>
  </si>
  <si>
    <t>Emission Factor UOM</t>
  </si>
  <si>
    <t>Emission Factor MDL</t>
  </si>
  <si>
    <t>Fd</t>
  </si>
  <si>
    <t>Fw</t>
  </si>
  <si>
    <t>Fc</t>
  </si>
  <si>
    <t>Calculated conc lb/dscf</t>
  </si>
  <si>
    <t>19-1
lb/MMBtu</t>
  </si>
  <si>
    <t>%diff
19-1</t>
  </si>
  <si>
    <t>19-6
lb/MMBtu</t>
  </si>
  <si>
    <t>%diff
19-6</t>
  </si>
  <si>
    <t>lb/MMBtu Value Used for UPL Calcs</t>
  </si>
  <si>
    <t>Unit Heat Rate (MMBtu/MWh)</t>
  </si>
  <si>
    <t>lb/MWh Value Used in UPL Calcs</t>
  </si>
  <si>
    <t>RTI Calculated QA
lb/MMBtu</t>
  </si>
  <si>
    <t>Run Grade</t>
  </si>
  <si>
    <t>Submitted Value</t>
  </si>
  <si>
    <t>Submitted Value UOM</t>
  </si>
  <si>
    <t>Use ?</t>
  </si>
  <si>
    <t>Comment</t>
  </si>
  <si>
    <t>facility_id</t>
  </si>
  <si>
    <t>report_id</t>
  </si>
  <si>
    <t>sampling_port_id</t>
  </si>
  <si>
    <t>order</t>
  </si>
  <si>
    <t>pollutant_id</t>
  </si>
  <si>
    <t>pollutant_name</t>
  </si>
  <si>
    <t>run_id</t>
  </si>
  <si>
    <t>start_datetime</t>
  </si>
  <si>
    <t>end_datetime</t>
  </si>
  <si>
    <t>unit_load</t>
  </si>
  <si>
    <t>fuel_flow_rate</t>
  </si>
  <si>
    <t>fuel_heating_value</t>
  </si>
  <si>
    <t>fg_moisture_content</t>
  </si>
  <si>
    <t>fg_oxygen_content</t>
  </si>
  <si>
    <t>fg_CO2_content</t>
  </si>
  <si>
    <t>fg_temperature</t>
  </si>
  <si>
    <t>test_method</t>
  </si>
  <si>
    <t>conc</t>
  </si>
  <si>
    <t>conc_units</t>
  </si>
  <si>
    <t>conc_ND</t>
  </si>
  <si>
    <t>conc_MDL</t>
  </si>
  <si>
    <t>conc2</t>
  </si>
  <si>
    <t>conc2_units</t>
  </si>
  <si>
    <t>emission_rate</t>
  </si>
  <si>
    <t>emission_rate_units</t>
  </si>
  <si>
    <t>emission_rate_ND</t>
  </si>
  <si>
    <t>emission_rate_MDL</t>
  </si>
  <si>
    <t>emission_factor</t>
  </si>
  <si>
    <t>emission_factor_units</t>
  </si>
  <si>
    <t>emission_factor_ND</t>
  </si>
  <si>
    <t>emission_factor_MDL</t>
  </si>
  <si>
    <t>run_pollutant_comment</t>
  </si>
  <si>
    <t>Fuel1</t>
  </si>
  <si>
    <t>Fuel1%Btu</t>
  </si>
  <si>
    <t>Fuel2</t>
  </si>
  <si>
    <t>Fuel2%Btu</t>
  </si>
  <si>
    <t>QA Comment</t>
  </si>
  <si>
    <t>Heat Rate</t>
  </si>
  <si>
    <t>Fuel 1 MMBtu/hr via HR</t>
  </si>
  <si>
    <t>Fuel 1 MMBtu/hr via Fuel Flow</t>
  </si>
  <si>
    <t>Fuel 2 Flow Rate</t>
  </si>
  <si>
    <t>Fuel 2 MMBtu/hr via HR</t>
  </si>
  <si>
    <t>Fuel 2 MMBtu/hr via Fuel Flow</t>
  </si>
  <si>
    <t>Total HTIP Both Fuels (MMBtu/hr)</t>
  </si>
  <si>
    <t>D</t>
  </si>
  <si>
    <t>3_fPM_T1_R1</t>
  </si>
  <si>
    <t>Mystic</t>
  </si>
  <si>
    <t>n/a</t>
  </si>
  <si>
    <t>pound per million British Thermal Unit (lb/MMBtu)</t>
  </si>
  <si>
    <t>Stack 1</t>
  </si>
  <si>
    <t>PM (Filterable)</t>
  </si>
  <si>
    <t>No. 6 Oil</t>
  </si>
  <si>
    <t>3_fPM_T1_R2</t>
  </si>
  <si>
    <t>soot blow run</t>
  </si>
  <si>
    <t>3_fPM_T1_R3</t>
  </si>
  <si>
    <t>3_fPM_T2_R1</t>
  </si>
  <si>
    <t>3_fPM_T2_R2</t>
  </si>
  <si>
    <t>3_fPM_T2_R3</t>
  </si>
  <si>
    <t>Burning 37% oil and 63% gas</t>
  </si>
  <si>
    <t>Do Not Use</t>
  </si>
  <si>
    <t>3_fPM_T3_R1</t>
  </si>
  <si>
    <t>Burning oil and gas</t>
  </si>
  <si>
    <t>Burning 38% oil and 62% gas</t>
  </si>
  <si>
    <t>3_fPM_T3_R2</t>
  </si>
  <si>
    <t>Burning 0% oil and 100% gas</t>
  </si>
  <si>
    <t>3_fPM_T3_R3</t>
  </si>
  <si>
    <t>N.G.</t>
  </si>
  <si>
    <t>All 3 Runs were at approximately 25% of full capacity. These 3 runs composed the lowest stack test reported for continental oil units. However, the unit load of 25% is not comparable to other the other full load tests submitted in the ICR. Without this test Mystic was not the top rated unit.</t>
  </si>
  <si>
    <t>3_fPM_T4_R1</t>
  </si>
  <si>
    <t>3_fPM_T4_R2</t>
  </si>
  <si>
    <t>3_fPM_T4_R3</t>
  </si>
  <si>
    <t>Reported</t>
  </si>
  <si>
    <t>1 mg 1 x RDL</t>
  </si>
  <si>
    <t>For UPL</t>
  </si>
  <si>
    <t>lb fPM/MWh</t>
  </si>
  <si>
    <t>net_generation</t>
  </si>
  <si>
    <t>fg_flow_rate</t>
  </si>
  <si>
    <t>fg_flow_rate_units</t>
  </si>
  <si>
    <t>standard_temperature</t>
  </si>
  <si>
    <t>standard_pressure</t>
  </si>
  <si>
    <t>normal_temperature</t>
  </si>
  <si>
    <t>normal_pressure</t>
  </si>
  <si>
    <t>fg_pressure</t>
  </si>
  <si>
    <t>Hg_loi</t>
  </si>
  <si>
    <t>run_comments</t>
  </si>
  <si>
    <t>fuel_id</t>
  </si>
  <si>
    <t>fuel_unit_load</t>
  </si>
  <si>
    <t>fuel_ash</t>
  </si>
  <si>
    <t>fuel_sulfur</t>
  </si>
  <si>
    <t>These tests were conducted prior to the ESP installation and are not representative of the current level of control being achieved by this unit.</t>
  </si>
  <si>
    <t xml:space="preserve">PPE3 </t>
  </si>
  <si>
    <t>PPE03 2005</t>
  </si>
  <si>
    <t>PPE STK03</t>
  </si>
  <si>
    <t>dscfm</t>
  </si>
  <si>
    <t>Method 17</t>
  </si>
  <si>
    <t>Soot Blowing</t>
  </si>
  <si>
    <t>Number 6 Fuel Oil</t>
  </si>
  <si>
    <t>Steady State</t>
  </si>
  <si>
    <t>3_fPM_T1_R4</t>
  </si>
  <si>
    <t>3_fPM_T1_R5</t>
  </si>
  <si>
    <t>5</t>
  </si>
  <si>
    <t>3_fPM_T1_R6</t>
  </si>
  <si>
    <t>6</t>
  </si>
  <si>
    <t>PPE03 2006</t>
  </si>
  <si>
    <t>3_fPM_T2_R4</t>
  </si>
  <si>
    <t>3_fPM_T2_R5</t>
  </si>
  <si>
    <t>3_fPM_T2_R6</t>
  </si>
  <si>
    <t>A</t>
  </si>
  <si>
    <t>3_fPM_T3_R4</t>
  </si>
  <si>
    <t>3_fPM_T3_R5</t>
  </si>
  <si>
    <t>3_fPM_T3_R6</t>
  </si>
  <si>
    <t>3_fPM_T4_R4</t>
  </si>
  <si>
    <t>3_fPM_T4_R5</t>
  </si>
  <si>
    <t>3_fPM_T4_R6</t>
  </si>
  <si>
    <t>3_fPM_T5_R1</t>
  </si>
  <si>
    <t>3_fPM_T5_R2</t>
  </si>
  <si>
    <t>3_fPM_T5_R3</t>
  </si>
  <si>
    <t>3_fPM_T5_R4</t>
  </si>
  <si>
    <t>3_fPM_T5_R5</t>
  </si>
  <si>
    <t>3_fPM_T5_R6</t>
  </si>
  <si>
    <t>submittal_id</t>
  </si>
  <si>
    <t>Location</t>
  </si>
  <si>
    <t>Method</t>
  </si>
  <si>
    <t>Run</t>
  </si>
  <si>
    <t>RunDate</t>
  </si>
  <si>
    <t>Compound</t>
  </si>
  <si>
    <t>Fwt</t>
  </si>
  <si>
    <t>Mass</t>
  </si>
  <si>
    <t>ppm@7%O2</t>
  </si>
  <si>
    <t>ng/dscm</t>
  </si>
  <si>
    <t>ng/dscm@7%O2</t>
  </si>
  <si>
    <t>lb/mmBtuO2</t>
  </si>
  <si>
    <t>RunNumber</t>
  </si>
  <si>
    <t>RunStartTime</t>
  </si>
  <si>
    <t>RunEndTime</t>
  </si>
  <si>
    <t>NetTravPts</t>
  </si>
  <si>
    <t>NetRunTime</t>
  </si>
  <si>
    <t>Dn</t>
  </si>
  <si>
    <t>Cp</t>
  </si>
  <si>
    <t>Y</t>
  </si>
  <si>
    <t>DeltaH</t>
  </si>
  <si>
    <t>Vm</t>
  </si>
  <si>
    <t>tm</t>
  </si>
  <si>
    <t>Vmstd</t>
  </si>
  <si>
    <t>Vlc</t>
  </si>
  <si>
    <t>Vwstd</t>
  </si>
  <si>
    <t>PercH20</t>
  </si>
  <si>
    <t>PercH20sat</t>
  </si>
  <si>
    <t>Mfd</t>
  </si>
  <si>
    <t>PercCO2</t>
  </si>
  <si>
    <t>PercO2</t>
  </si>
  <si>
    <t>PercCOplusN2</t>
  </si>
  <si>
    <t>Fo</t>
  </si>
  <si>
    <t>Md</t>
  </si>
  <si>
    <t>Ms</t>
  </si>
  <si>
    <t>Pg</t>
  </si>
  <si>
    <t>Ps</t>
  </si>
  <si>
    <t>ts</t>
  </si>
  <si>
    <t>DeltaPavg</t>
  </si>
  <si>
    <t>Vs</t>
  </si>
  <si>
    <t>Dstk</t>
  </si>
  <si>
    <t>Dwdth</t>
  </si>
  <si>
    <t>Dlngth</t>
  </si>
  <si>
    <t>As</t>
  </si>
  <si>
    <t>Qsd</t>
  </si>
  <si>
    <t>Qaw</t>
  </si>
  <si>
    <t>PercI</t>
  </si>
  <si>
    <t>PercEA</t>
  </si>
  <si>
    <t>MMBtuHr</t>
  </si>
  <si>
    <t>FuelType</t>
  </si>
  <si>
    <t>3_fPM_T6_R1</t>
  </si>
  <si>
    <t>All catches &gt; 1 mg</t>
  </si>
  <si>
    <t>PPE3 - Metals</t>
  </si>
  <si>
    <t>Method 29</t>
  </si>
  <si>
    <t>PPE3-29-1</t>
  </si>
  <si>
    <t>16:44</t>
  </si>
  <si>
    <t>20:54</t>
  </si>
  <si>
    <t>1.96</t>
  </si>
  <si>
    <t>182.940</t>
  </si>
  <si>
    <t>82.10</t>
  </si>
  <si>
    <t>178.145</t>
  </si>
  <si>
    <t>18.39</t>
  </si>
  <si>
    <t>9.36</t>
  </si>
  <si>
    <t>100.00</t>
  </si>
  <si>
    <t>1.20</t>
  </si>
  <si>
    <t>30.40</t>
  </si>
  <si>
    <t>29.24</t>
  </si>
  <si>
    <t>29.78</t>
  </si>
  <si>
    <t>324.04</t>
  </si>
  <si>
    <t>0.764</t>
  </si>
  <si>
    <t>59.56</t>
  </si>
  <si>
    <t>343.617</t>
  </si>
  <si>
    <t>746,035.1</t>
  </si>
  <si>
    <t>1,227,949.7</t>
  </si>
  <si>
    <t>100.3</t>
  </si>
  <si>
    <t>23.4</t>
  </si>
  <si>
    <t>3915.23645318658</t>
  </si>
  <si>
    <t>Oil, Residual</t>
  </si>
  <si>
    <t>3_fPM_T6_R2</t>
  </si>
  <si>
    <t>PPE3-29-2</t>
  </si>
  <si>
    <t>17:29</t>
  </si>
  <si>
    <t>21:39</t>
  </si>
  <si>
    <t>1.94</t>
  </si>
  <si>
    <t>184.660</t>
  </si>
  <si>
    <t>81.69</t>
  </si>
  <si>
    <t>179.043</t>
  </si>
  <si>
    <t>19.82</t>
  </si>
  <si>
    <t>9.97</t>
  </si>
  <si>
    <t>29.16</t>
  </si>
  <si>
    <t>29.63</t>
  </si>
  <si>
    <t>322.96</t>
  </si>
  <si>
    <t>0.769</t>
  </si>
  <si>
    <t>59.95</t>
  </si>
  <si>
    <t>743,133.3</t>
  </si>
  <si>
    <t>1,235,990.3</t>
  </si>
  <si>
    <t>101.2</t>
  </si>
  <si>
    <t>24.0</t>
  </si>
  <si>
    <t>3881.43616974973</t>
  </si>
  <si>
    <t>3_fPM_T6_R3</t>
  </si>
  <si>
    <t>PPE3-29-3</t>
  </si>
  <si>
    <t>15:37</t>
  </si>
  <si>
    <t>19:47</t>
  </si>
  <si>
    <t>1.95</t>
  </si>
  <si>
    <t>184.110</t>
  </si>
  <si>
    <t>83.06</t>
  </si>
  <si>
    <t>177.165</t>
  </si>
  <si>
    <t>21.27</t>
  </si>
  <si>
    <t>10.72</t>
  </si>
  <si>
    <t>30.39</t>
  </si>
  <si>
    <t>29.06</t>
  </si>
  <si>
    <t>29.48</t>
  </si>
  <si>
    <t>324.63</t>
  </si>
  <si>
    <t>0.773</t>
  </si>
  <si>
    <t>60.42</t>
  </si>
  <si>
    <t>737,387.4</t>
  </si>
  <si>
    <t>1,245,680.3</t>
  </si>
  <si>
    <t>100.9</t>
  </si>
  <si>
    <t>24.2</t>
  </si>
  <si>
    <t>3844.51448870469</t>
  </si>
  <si>
    <t>3_fPM_T6_R4</t>
  </si>
  <si>
    <t>PPE3 - PM</t>
  </si>
  <si>
    <t>OTM - 27/28</t>
  </si>
  <si>
    <t>PPE3-27/28-1</t>
  </si>
  <si>
    <t>3_fPM_T6_R5</t>
  </si>
  <si>
    <t>PPE3-27/28-2</t>
  </si>
  <si>
    <t>3_fPM_T6_R6</t>
  </si>
  <si>
    <t>PPE3-27/28-3</t>
  </si>
  <si>
    <t>Conversions</t>
  </si>
  <si>
    <t>ppm SO2=</t>
  </si>
  <si>
    <t>ppm Hg=</t>
  </si>
  <si>
    <t>mg=</t>
  </si>
  <si>
    <t>g</t>
  </si>
  <si>
    <t>ug=</t>
  </si>
  <si>
    <t>g=</t>
  </si>
  <si>
    <t>lb</t>
  </si>
  <si>
    <t>m^3=</t>
  </si>
  <si>
    <t>ft^3</t>
  </si>
  <si>
    <t>Hg molecular weight</t>
  </si>
  <si>
    <t>SO2 molecular weight</t>
  </si>
  <si>
    <t>Table 19-2</t>
  </si>
  <si>
    <t>Fuel Type</t>
  </si>
  <si>
    <t>dscf/MMBtu</t>
  </si>
  <si>
    <t>wscf/MMBtu</t>
  </si>
  <si>
    <t>scf/MMBtu</t>
  </si>
  <si>
    <t>Coal</t>
  </si>
  <si>
    <t>Petroleum Coke</t>
  </si>
  <si>
    <t>QA Calcs</t>
  </si>
  <si>
    <t>Using Available Representative Diluent Per Comment</t>
  </si>
  <si>
    <t>Column Source==&gt;</t>
  </si>
  <si>
    <t>Mystic Runs to Tests</t>
  </si>
  <si>
    <t>Test Avgs for UPL</t>
  </si>
  <si>
    <t>R1</t>
  </si>
  <si>
    <t>R2</t>
  </si>
  <si>
    <t>R3</t>
  </si>
  <si>
    <t>R4</t>
  </si>
  <si>
    <t>R5</t>
  </si>
  <si>
    <t>R6</t>
  </si>
  <si>
    <t>R7</t>
  </si>
  <si>
    <t>R8</t>
  </si>
  <si>
    <t>R9</t>
  </si>
  <si>
    <t>R10</t>
  </si>
  <si>
    <t>Test_IDs</t>
  </si>
  <si>
    <t>3_fPM_T4</t>
  </si>
  <si>
    <t>25% Load</t>
  </si>
  <si>
    <t>3_fPM_T3</t>
  </si>
  <si>
    <t>65% Natural Gas</t>
  </si>
  <si>
    <t>3_fPM_T1</t>
  </si>
  <si>
    <t>3_fPM_T2</t>
  </si>
  <si>
    <t>Port Everglades Runs to Tests</t>
  </si>
  <si>
    <t>Test Avg lb/MW</t>
  </si>
  <si>
    <t>Run lb/MW</t>
  </si>
  <si>
    <t>3_fPM_T5</t>
  </si>
  <si>
    <t>3_fPM_T6</t>
  </si>
  <si>
    <t>ESP installed after these tests were conducted.</t>
  </si>
  <si>
    <t>QA of "1 x MDL" Calculation Function in Cell R11</t>
  </si>
  <si>
    <t>Term in Row 11, Column R ==&gt;</t>
  </si>
  <si>
    <t>IF(BM11&lt;&gt;"",ROUND((BM11-BL11)*24,0),1)</t>
  </si>
  <si>
    <t xml:space="preserve">x </t>
  </si>
  <si>
    <t>2.20462E-06*0.028317</t>
  </si>
  <si>
    <t>x</t>
  </si>
  <si>
    <t>IF(AA11&lt;&gt;"",AA11,AK11)</t>
  </si>
  <si>
    <t>*20.9/IF(AC11&lt;&gt;"",(20.9-AC11),(20.9-6))</t>
  </si>
  <si>
    <t>Purpose of Term===&gt;</t>
  </si>
  <si>
    <t>This function determines the duration of the run. If the start time was not provided, the function returns a duration of 1 hour. For a 1 hour run the assumed sample volume is 1 dscm. The units of measure of this term are therefore dscm.</t>
  </si>
  <si>
    <t>constant</t>
  </si>
  <si>
    <t>If the submittal specified an F factor the submitted value is used.</t>
  </si>
  <si>
    <t>If the submittal specified a %O2 the submitted value is used.</t>
  </si>
  <si>
    <t>Otherwise, the default F factor for the submitted fuel type is used.</t>
  </si>
  <si>
    <t xml:space="preserve">Otherwise, the following default %O2 was used==&gt; </t>
  </si>
  <si>
    <t>=ROUND((BM11-BL11)*24,0)*0.00000220462*0.028317*IF(AA11&lt;&gt;"",AA11,AK11)*20.9/IF(AC11&lt;&gt;"",(20.9-AC11),(20.9-$N$302))</t>
  </si>
  <si>
    <r>
      <t xml:space="preserve">Use </t>
    </r>
    <r>
      <rPr>
        <sz val="11"/>
        <color rgb="FFFF0000"/>
        <rFont val="Calibri"/>
        <family val="2"/>
      </rPr>
      <t>1</t>
    </r>
    <r>
      <rPr>
        <sz val="11"/>
        <color theme="1"/>
        <rFont val="Calibri"/>
        <family val="2"/>
        <scheme val="minor"/>
      </rPr>
      <t xml:space="preserve"> in this QA Calc to determine the MDL for a </t>
    </r>
    <r>
      <rPr>
        <sz val="11"/>
        <color rgb="FFFF0000"/>
        <rFont val="Calibri"/>
        <family val="2"/>
        <scheme val="minor"/>
      </rPr>
      <t>1</t>
    </r>
    <r>
      <rPr>
        <sz val="11"/>
        <color theme="1"/>
        <rFont val="Calibri"/>
        <family val="2"/>
        <scheme val="minor"/>
      </rPr>
      <t xml:space="preserve"> mg catch weight.</t>
    </r>
  </si>
  <si>
    <t>This is the line that shows implementation of the formula used in cells AA11. Select in the formula bar beside the "fx" symbol at the top of the Excel screen; then select the length of the formula in the formula bar. Then paste this formula into Cell A11.</t>
  </si>
  <si>
    <t>mg fPM</t>
  </si>
  <si>
    <t>lb fPM</t>
  </si>
  <si>
    <t>dscm flue gas</t>
  </si>
  <si>
    <t>dscf flue gas</t>
  </si>
  <si>
    <t>%O2          =</t>
  </si>
  <si>
    <t>mg</t>
  </si>
  <si>
    <t>MMBtu</t>
  </si>
  <si>
    <t>Nothing to compare; PM-3 test was also burning gas</t>
  </si>
  <si>
    <t>ND</t>
  </si>
  <si>
    <t>They were burning gas and oil</t>
  </si>
  <si>
    <t>Data from hard copy ICR.  Only summary pages from test report provided.</t>
  </si>
  <si>
    <t>average of runs</t>
  </si>
  <si>
    <t xml:space="preserve">Emissions </t>
  </si>
  <si>
    <t>Use for large sample sets and small sample sets that are Normal.</t>
  </si>
  <si>
    <t xml:space="preserve">UPL  POOLED VARIANCE = </t>
  </si>
  <si>
    <t>Use for small sample sets that are Lognormal.</t>
  </si>
  <si>
    <t>Log Data</t>
  </si>
  <si>
    <t>Average of Raw Data</t>
  </si>
  <si>
    <t>1. Take LN( ) of Raw Data</t>
  </si>
  <si>
    <t>2. Calculate sample size, n=</t>
  </si>
  <si>
    <t xml:space="preserve">3. Calculate </t>
  </si>
  <si>
    <t>4. Calculate</t>
  </si>
  <si>
    <t>5. m</t>
  </si>
  <si>
    <t>6. Calculate</t>
  </si>
  <si>
    <t>a- Numerator first term</t>
  </si>
  <si>
    <t>b- denominator first term</t>
  </si>
  <si>
    <t>7. Calculate</t>
  </si>
  <si>
    <r>
      <t>8. Go to tab distribution for 99 percentile "</t>
    </r>
    <r>
      <rPr>
        <i/>
        <sz val="11"/>
        <color indexed="8"/>
        <rFont val="Calibri"/>
        <family val="2"/>
      </rPr>
      <t>lognormal distribution 99%</t>
    </r>
    <r>
      <rPr>
        <sz val="11"/>
        <color indexed="8"/>
        <rFont val="Calibri"/>
        <family val="2"/>
      </rPr>
      <t>"</t>
    </r>
  </si>
  <si>
    <t xml:space="preserve">9. substitue the values of </t>
  </si>
  <si>
    <t>in cell D7 and F7 respectively</t>
  </si>
  <si>
    <t>10. In column AE indentify the value that is the smallest value that is larger than 0.99, note what row number this is.</t>
  </si>
  <si>
    <t>11. In column B, go down the the row number from Step 10. above, and copy the z value.</t>
  </si>
  <si>
    <r>
      <t>z value from "</t>
    </r>
    <r>
      <rPr>
        <i/>
        <sz val="11"/>
        <color indexed="8"/>
        <rFont val="Calibri"/>
        <family val="2"/>
      </rPr>
      <t>lognormal distribution 99%</t>
    </r>
    <r>
      <rPr>
        <sz val="11"/>
        <color theme="1"/>
        <rFont val="Calibri"/>
        <family val="2"/>
        <scheme val="minor"/>
      </rPr>
      <t>"</t>
    </r>
  </si>
  <si>
    <t xml:space="preserve">12. calculate the UPL using the formula </t>
  </si>
  <si>
    <t xml:space="preserve">a- Calculate </t>
  </si>
  <si>
    <t>b- Calculate</t>
  </si>
  <si>
    <t xml:space="preserve">c- Calculate </t>
  </si>
  <si>
    <t>d-calculate</t>
  </si>
  <si>
    <t>e- Calculate</t>
  </si>
  <si>
    <t>f- Calculate UPL</t>
  </si>
  <si>
    <t>Floor Value</t>
  </si>
  <si>
    <t>3xRDL, 4dscm sample volume from prom</t>
  </si>
  <si>
    <t>Do Not Use; Tests were conducted prior to installation of ESP. Tests were excluded from floor analysis.</t>
  </si>
</sst>
</file>

<file path=xl/styles.xml><?xml version="1.0" encoding="utf-8"?>
<styleSheet xmlns="http://schemas.openxmlformats.org/spreadsheetml/2006/main">
  <numFmts count="17">
    <numFmt numFmtId="43" formatCode="_(* #,##0.00_);_(* \(#,##0.00\);_(* &quot;-&quot;??_);_(@_)"/>
    <numFmt numFmtId="164" formatCode="0.00000"/>
    <numFmt numFmtId="165" formatCode="0.0000"/>
    <numFmt numFmtId="166" formatCode="0.0"/>
    <numFmt numFmtId="167" formatCode="0.000E+00"/>
    <numFmt numFmtId="168" formatCode="0.0E+00"/>
    <numFmt numFmtId="169" formatCode="mm/dd/yy;@"/>
    <numFmt numFmtId="170" formatCode="dd\-mmm\-yy"/>
    <numFmt numFmtId="171" formatCode="[$-F400]h:mm:ss\ AM/PM"/>
    <numFmt numFmtId="172" formatCode="[$-409]m/d/yy\ h:mm\ AM/PM;@"/>
    <numFmt numFmtId="173" formatCode="_(* #,##0_);_(* \(#,##0\);_(* &quot;-&quot;??_);_(@_)"/>
    <numFmt numFmtId="174" formatCode="_(* #,##0.0_);_(* \(#,##0.0\);_(* &quot;-&quot;??_);_(@_)"/>
    <numFmt numFmtId="175" formatCode="m/d/yy\ h:mm;@"/>
    <numFmt numFmtId="176" formatCode="&quot;Column &quot;\ 0"/>
    <numFmt numFmtId="177" formatCode="0.0\ &quot;%O2, default&quot;"/>
    <numFmt numFmtId="178" formatCode="0.000"/>
    <numFmt numFmtId="179" formatCode="0.0000000"/>
  </numFmts>
  <fonts count="49">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sz val="10"/>
      <color theme="1"/>
      <name val="Arial"/>
      <family val="2"/>
    </font>
    <font>
      <sz val="10"/>
      <color indexed="8"/>
      <name val="Arial"/>
      <family val="2"/>
    </font>
    <font>
      <sz val="11"/>
      <color rgb="FF000000"/>
      <name val="Calibri"/>
      <family val="2"/>
      <scheme val="minor"/>
    </font>
    <font>
      <sz val="11"/>
      <color theme="0"/>
      <name val="Calibri"/>
      <family val="2"/>
      <scheme val="minor"/>
    </font>
    <font>
      <b/>
      <sz val="10"/>
      <color theme="1"/>
      <name val="Arial"/>
      <family val="2"/>
    </font>
    <font>
      <b/>
      <i/>
      <sz val="10"/>
      <name val="Arial"/>
      <family val="2"/>
    </font>
    <font>
      <b/>
      <i/>
      <sz val="10"/>
      <color theme="1"/>
      <name val="Arial"/>
      <family val="2"/>
    </font>
    <font>
      <vertAlign val="superscript"/>
      <sz val="10"/>
      <color indexed="8"/>
      <name val="Arial"/>
      <family val="2"/>
    </font>
    <font>
      <vertAlign val="subscript"/>
      <sz val="10"/>
      <color indexed="8"/>
      <name val="Arial"/>
      <family val="2"/>
    </font>
    <font>
      <i/>
      <sz val="10"/>
      <color theme="1"/>
      <name val="Arial"/>
      <family val="2"/>
    </font>
    <font>
      <b/>
      <u/>
      <sz val="10"/>
      <name val="Arial"/>
      <family val="2"/>
    </font>
    <font>
      <sz val="10"/>
      <name val="Calibri"/>
      <family val="2"/>
      <scheme val="minor"/>
    </font>
    <font>
      <sz val="10"/>
      <name val="Times New Roman"/>
      <family val="1"/>
    </font>
    <font>
      <b/>
      <i/>
      <sz val="11"/>
      <color theme="1"/>
      <name val="Calibri"/>
      <family val="2"/>
      <scheme val="minor"/>
    </font>
    <font>
      <sz val="10"/>
      <color theme="3"/>
      <name val="Arial"/>
      <family val="2"/>
    </font>
    <font>
      <sz val="11"/>
      <color rgb="FF9C0006"/>
      <name val="Calibri"/>
      <family val="2"/>
      <scheme val="minor"/>
    </font>
    <font>
      <sz val="11"/>
      <color rgb="FF9C6500"/>
      <name val="Calibri"/>
      <family val="2"/>
      <scheme val="minor"/>
    </font>
    <font>
      <sz val="11"/>
      <color rgb="FFFF0000"/>
      <name val="Calibri"/>
      <family val="2"/>
      <scheme val="minor"/>
    </font>
    <font>
      <sz val="11"/>
      <color indexed="8"/>
      <name val="Calibri"/>
      <family val="2"/>
    </font>
    <font>
      <sz val="11"/>
      <color indexed="8"/>
      <name val="Calibri"/>
      <family val="2"/>
      <scheme val="minor"/>
    </font>
    <font>
      <strike/>
      <sz val="11"/>
      <color indexed="8"/>
      <name val="Calibri"/>
      <family val="2"/>
    </font>
    <font>
      <strike/>
      <sz val="10"/>
      <color indexed="8"/>
      <name val="Arial"/>
      <family val="2"/>
    </font>
    <font>
      <strike/>
      <sz val="11"/>
      <color theme="1"/>
      <name val="Calibri"/>
      <family val="2"/>
      <scheme val="minor"/>
    </font>
    <font>
      <sz val="11"/>
      <color rgb="FFFF0000"/>
      <name val="Calibri"/>
      <family val="2"/>
    </font>
    <font>
      <sz val="11"/>
      <name val="Calibri"/>
      <family val="2"/>
      <scheme val="minor"/>
    </font>
    <font>
      <strike/>
      <sz val="11"/>
      <name val="Calibri"/>
      <family val="2"/>
    </font>
    <font>
      <strike/>
      <sz val="11"/>
      <name val="Calibri"/>
      <family val="2"/>
      <scheme val="minor"/>
    </font>
    <font>
      <strike/>
      <sz val="10"/>
      <name val="Arial"/>
      <family val="2"/>
    </font>
    <font>
      <sz val="11"/>
      <name val="Calibri"/>
      <family val="2"/>
    </font>
    <font>
      <b/>
      <sz val="11"/>
      <color indexed="8"/>
      <name val="Calibri"/>
      <family val="2"/>
    </font>
    <font>
      <b/>
      <sz val="11"/>
      <color rgb="FFFF0000"/>
      <name val="Calibri"/>
      <family val="2"/>
    </font>
    <font>
      <b/>
      <sz val="10"/>
      <name val="MS Sans Serif"/>
      <family val="2"/>
    </font>
    <font>
      <sz val="11"/>
      <color rgb="FF0070C0"/>
      <name val="Calibri"/>
      <family val="2"/>
      <scheme val="minor"/>
    </font>
    <font>
      <sz val="10"/>
      <color rgb="FF0070C0"/>
      <name val="Arial"/>
      <family val="2"/>
    </font>
    <font>
      <strike/>
      <sz val="11"/>
      <color rgb="FF0070C0"/>
      <name val="Calibri"/>
      <family val="2"/>
      <scheme val="minor"/>
    </font>
    <font>
      <strike/>
      <sz val="10"/>
      <color rgb="FF0070C0"/>
      <name val="Arial"/>
      <family val="2"/>
    </font>
    <font>
      <strike/>
      <sz val="11"/>
      <color indexed="8"/>
      <name val="Calibri"/>
      <family val="2"/>
      <scheme val="minor"/>
    </font>
    <font>
      <b/>
      <sz val="8"/>
      <color indexed="81"/>
      <name val="Tahoma"/>
      <family val="2"/>
    </font>
    <font>
      <sz val="8"/>
      <color indexed="81"/>
      <name val="Tahoma"/>
      <family val="2"/>
    </font>
    <font>
      <sz val="11"/>
      <color rgb="FF0070C0"/>
      <name val="Calibri"/>
      <family val="2"/>
    </font>
    <font>
      <sz val="8"/>
      <name val="Arial"/>
      <family val="2"/>
    </font>
    <font>
      <sz val="10"/>
      <color theme="1"/>
      <name val="Calibri"/>
      <family val="2"/>
      <scheme val="minor"/>
    </font>
    <font>
      <i/>
      <sz val="11"/>
      <color indexed="8"/>
      <name val="Calibri"/>
      <family val="2"/>
    </font>
    <font>
      <sz val="10"/>
      <name val="MS Sans Serif"/>
      <family val="2"/>
    </font>
  </fonts>
  <fills count="24">
    <fill>
      <patternFill patternType="none"/>
    </fill>
    <fill>
      <patternFill patternType="gray125"/>
    </fill>
    <fill>
      <patternFill patternType="solid">
        <fgColor rgb="FFC6EFCE"/>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rgb="FFFFC7CE"/>
      </patternFill>
    </fill>
    <fill>
      <patternFill patternType="solid">
        <fgColor rgb="FFFFEB9C"/>
      </patternFill>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0"/>
      </patternFill>
    </fill>
    <fill>
      <patternFill patternType="solid">
        <fgColor theme="4"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top/>
      <bottom style="thick">
        <color indexed="64"/>
      </bottom>
      <diagonal/>
    </border>
    <border>
      <left/>
      <right style="thin">
        <color indexed="64"/>
      </right>
      <top/>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indexed="8"/>
      </left>
      <right/>
      <top style="thin">
        <color indexed="8"/>
      </top>
      <bottom style="thin">
        <color indexed="8"/>
      </bottom>
      <diagonal/>
    </border>
    <border>
      <left style="thin">
        <color indexed="22"/>
      </left>
      <right style="thin">
        <color indexed="22"/>
      </right>
      <top/>
      <bottom style="thin">
        <color indexed="22"/>
      </bottom>
      <diagonal/>
    </border>
    <border>
      <left/>
      <right/>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s>
  <cellStyleXfs count="16">
    <xf numFmtId="0" fontId="0" fillId="0" borderId="0"/>
    <xf numFmtId="0" fontId="2" fillId="2" borderId="0" applyNumberFormat="0" applyBorder="0" applyAlignment="0" applyProtection="0"/>
    <xf numFmtId="0" fontId="3" fillId="0" borderId="0"/>
    <xf numFmtId="0" fontId="3" fillId="0" borderId="0"/>
    <xf numFmtId="0" fontId="1" fillId="0" borderId="0"/>
    <xf numFmtId="0" fontId="3" fillId="0" borderId="0"/>
    <xf numFmtId="43" fontId="1" fillId="0" borderId="0" applyFont="0" applyFill="0" applyBorder="0" applyAlignment="0" applyProtection="0"/>
    <xf numFmtId="0" fontId="20" fillId="13" borderId="0" applyNumberFormat="0" applyBorder="0" applyAlignment="0" applyProtection="0"/>
    <xf numFmtId="0" fontId="21"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506">
    <xf numFmtId="0" fontId="0" fillId="0" borderId="0" xfId="0"/>
    <xf numFmtId="0" fontId="3" fillId="0" borderId="0" xfId="2"/>
    <xf numFmtId="0" fontId="3" fillId="3" borderId="4" xfId="2" applyFont="1" applyFill="1" applyBorder="1" applyAlignment="1">
      <alignment horizontal="center" wrapText="1"/>
    </xf>
    <xf numFmtId="0" fontId="3" fillId="4" borderId="4" xfId="2" applyFont="1" applyFill="1" applyBorder="1" applyAlignment="1">
      <alignment horizontal="center" wrapText="1"/>
    </xf>
    <xf numFmtId="11" fontId="3" fillId="0" borderId="6" xfId="2" applyNumberFormat="1" applyBorder="1"/>
    <xf numFmtId="11" fontId="3" fillId="0" borderId="6" xfId="2" applyNumberFormat="1" applyFill="1" applyBorder="1"/>
    <xf numFmtId="2" fontId="3" fillId="0" borderId="6" xfId="2" applyNumberFormat="1" applyBorder="1"/>
    <xf numFmtId="2" fontId="3" fillId="0" borderId="6" xfId="2" applyNumberFormat="1" applyFill="1" applyBorder="1"/>
    <xf numFmtId="0" fontId="3" fillId="0" borderId="0" xfId="2" applyFont="1" applyFill="1"/>
    <xf numFmtId="0" fontId="3" fillId="0" borderId="0" xfId="2" applyFill="1"/>
    <xf numFmtId="0" fontId="3" fillId="0" borderId="0" xfId="2" quotePrefix="1" applyFont="1" applyFill="1"/>
    <xf numFmtId="2" fontId="3" fillId="0" borderId="0" xfId="2" applyNumberFormat="1" applyFill="1" applyBorder="1"/>
    <xf numFmtId="1" fontId="3" fillId="0" borderId="0" xfId="2" quotePrefix="1" applyNumberFormat="1" applyFill="1"/>
    <xf numFmtId="2" fontId="3" fillId="0" borderId="0" xfId="2" applyNumberFormat="1" applyFill="1"/>
    <xf numFmtId="2" fontId="3" fillId="0" borderId="0" xfId="2" applyNumberFormat="1"/>
    <xf numFmtId="165" fontId="3" fillId="0" borderId="0" xfId="2" applyNumberFormat="1" applyFill="1"/>
    <xf numFmtId="0" fontId="3" fillId="0" borderId="0" xfId="2" quotePrefix="1" applyFill="1"/>
    <xf numFmtId="0" fontId="3" fillId="0" borderId="5" xfId="3" applyBorder="1" applyAlignment="1">
      <alignment horizontal="center"/>
    </xf>
    <xf numFmtId="0" fontId="3" fillId="0" borderId="6" xfId="3" applyBorder="1" applyAlignment="1">
      <alignment horizontal="center"/>
    </xf>
    <xf numFmtId="2" fontId="3" fillId="0" borderId="6" xfId="3" applyNumberFormat="1" applyBorder="1"/>
    <xf numFmtId="2" fontId="3" fillId="0" borderId="6" xfId="3" applyNumberFormat="1" applyFill="1" applyBorder="1"/>
    <xf numFmtId="0" fontId="3" fillId="0" borderId="7" xfId="3" applyBorder="1"/>
    <xf numFmtId="2" fontId="3" fillId="0" borderId="7" xfId="3" applyNumberFormat="1" applyBorder="1"/>
    <xf numFmtId="2" fontId="3" fillId="0" borderId="8" xfId="3" applyNumberFormat="1" applyFill="1" applyBorder="1"/>
    <xf numFmtId="2" fontId="3" fillId="0" borderId="8" xfId="3" applyNumberFormat="1" applyBorder="1"/>
    <xf numFmtId="2" fontId="3" fillId="0" borderId="9" xfId="3" applyNumberFormat="1" applyBorder="1"/>
    <xf numFmtId="0" fontId="3" fillId="5" borderId="4" xfId="3" applyFont="1" applyFill="1" applyBorder="1"/>
    <xf numFmtId="2" fontId="3" fillId="5" borderId="4" xfId="3" applyNumberFormat="1" applyFont="1" applyFill="1" applyBorder="1"/>
    <xf numFmtId="2" fontId="3" fillId="0" borderId="4" xfId="3" applyNumberFormat="1" applyFont="1" applyFill="1" applyBorder="1" applyAlignment="1">
      <alignment horizontal="right"/>
    </xf>
    <xf numFmtId="164" fontId="3" fillId="0" borderId="6" xfId="2" applyNumberFormat="1" applyBorder="1"/>
    <xf numFmtId="164" fontId="3" fillId="0" borderId="0" xfId="2" applyNumberFormat="1" applyFill="1"/>
    <xf numFmtId="0" fontId="3" fillId="3" borderId="1" xfId="3" applyFill="1" applyBorder="1"/>
    <xf numFmtId="0" fontId="3" fillId="3" borderId="3" xfId="3" applyFill="1" applyBorder="1" applyAlignment="1">
      <alignment horizontal="center"/>
    </xf>
    <xf numFmtId="0" fontId="4" fillId="3" borderId="4" xfId="3" applyFont="1" applyFill="1" applyBorder="1"/>
    <xf numFmtId="11" fontId="3" fillId="0" borderId="5" xfId="2" applyNumberFormat="1" applyBorder="1" applyAlignment="1">
      <alignment horizontal="right"/>
    </xf>
    <xf numFmtId="2" fontId="3" fillId="0" borderId="5" xfId="3" applyNumberFormat="1" applyBorder="1"/>
    <xf numFmtId="0" fontId="3" fillId="0" borderId="10" xfId="3" applyBorder="1"/>
    <xf numFmtId="11" fontId="3" fillId="0" borderId="6" xfId="2" applyNumberFormat="1" applyBorder="1" applyAlignment="1">
      <alignment horizontal="right"/>
    </xf>
    <xf numFmtId="11" fontId="3" fillId="0" borderId="6" xfId="2" applyNumberFormat="1" applyFill="1" applyBorder="1" applyAlignment="1">
      <alignment horizontal="right"/>
    </xf>
    <xf numFmtId="0" fontId="0" fillId="5" borderId="0" xfId="0" applyFill="1"/>
    <xf numFmtId="0" fontId="0" fillId="6" borderId="0" xfId="0" applyFill="1"/>
    <xf numFmtId="10" fontId="0" fillId="6" borderId="0" xfId="0" applyNumberFormat="1" applyFill="1"/>
    <xf numFmtId="0" fontId="0" fillId="5" borderId="0" xfId="0" applyFill="1" applyAlignment="1">
      <alignment horizontal="left"/>
    </xf>
    <xf numFmtId="0" fontId="0" fillId="0" borderId="0" xfId="0" applyFill="1" applyAlignment="1">
      <alignment horizontal="left"/>
    </xf>
    <xf numFmtId="0" fontId="0" fillId="0" borderId="4" xfId="0" applyBorder="1"/>
    <xf numFmtId="10" fontId="0" fillId="0" borderId="4" xfId="0" applyNumberFormat="1" applyBorder="1"/>
    <xf numFmtId="0" fontId="0" fillId="0" borderId="4" xfId="0" applyBorder="1" applyAlignment="1">
      <alignment horizontal="right"/>
    </xf>
    <xf numFmtId="0" fontId="0" fillId="8" borderId="0" xfId="0" applyFill="1" applyAlignment="1">
      <alignment horizontal="left"/>
    </xf>
    <xf numFmtId="0" fontId="0" fillId="8" borderId="0" xfId="0" applyFill="1"/>
    <xf numFmtId="2" fontId="0" fillId="0" borderId="0" xfId="0" applyNumberFormat="1"/>
    <xf numFmtId="0" fontId="0" fillId="0" borderId="0" xfId="0" applyFill="1"/>
    <xf numFmtId="2" fontId="0" fillId="0" borderId="0" xfId="0" applyNumberFormat="1" applyFill="1"/>
    <xf numFmtId="0" fontId="7" fillId="0" borderId="0" xfId="0" applyFont="1" applyBorder="1"/>
    <xf numFmtId="11" fontId="0" fillId="0" borderId="0" xfId="0" applyNumberFormat="1"/>
    <xf numFmtId="164" fontId="0" fillId="6" borderId="0" xfId="0" applyNumberFormat="1" applyFill="1"/>
    <xf numFmtId="164" fontId="0" fillId="0" borderId="0" xfId="0" applyNumberFormat="1"/>
    <xf numFmtId="0" fontId="9" fillId="4" borderId="0" xfId="0" applyFont="1" applyFill="1" applyAlignment="1">
      <alignment wrapText="1"/>
    </xf>
    <xf numFmtId="0" fontId="5" fillId="0" borderId="0" xfId="0" applyFont="1"/>
    <xf numFmtId="0" fontId="5" fillId="0" borderId="0" xfId="0" applyFont="1" applyAlignment="1">
      <alignment wrapText="1"/>
    </xf>
    <xf numFmtId="0" fontId="3" fillId="0" borderId="0" xfId="0" applyFont="1" applyAlignment="1">
      <alignment wrapText="1"/>
    </xf>
    <xf numFmtId="0" fontId="4" fillId="4" borderId="0" xfId="0" applyFont="1" applyFill="1" applyAlignment="1">
      <alignment wrapText="1"/>
    </xf>
    <xf numFmtId="0" fontId="4" fillId="0" borderId="0" xfId="0" applyFont="1" applyAlignment="1">
      <alignment wrapText="1"/>
    </xf>
    <xf numFmtId="2" fontId="3" fillId="10" borderId="4" xfId="3" applyNumberFormat="1" applyFont="1" applyFill="1" applyBorder="1" applyAlignment="1">
      <alignment horizontal="right"/>
    </xf>
    <xf numFmtId="2" fontId="3" fillId="12" borderId="4" xfId="3" applyNumberFormat="1" applyFont="1" applyFill="1" applyBorder="1" applyAlignment="1">
      <alignment horizontal="right"/>
    </xf>
    <xf numFmtId="2" fontId="0" fillId="11" borderId="0" xfId="0" applyNumberFormat="1" applyFill="1"/>
    <xf numFmtId="2" fontId="0" fillId="10" borderId="0" xfId="0" applyNumberFormat="1" applyFill="1"/>
    <xf numFmtId="0" fontId="15" fillId="0" borderId="0" xfId="0" applyFont="1" applyAlignment="1">
      <alignment wrapText="1"/>
    </xf>
    <xf numFmtId="0" fontId="16" fillId="0" borderId="0" xfId="0" applyFont="1"/>
    <xf numFmtId="0" fontId="3" fillId="0" borderId="0" xfId="0" applyFont="1" applyAlignment="1">
      <alignment horizontal="left" wrapText="1"/>
    </xf>
    <xf numFmtId="0" fontId="16" fillId="0" borderId="0" xfId="0" applyFont="1" applyAlignment="1">
      <alignment wrapText="1"/>
    </xf>
    <xf numFmtId="0" fontId="0" fillId="5" borderId="0" xfId="0" applyFill="1" applyAlignment="1">
      <alignment horizontal="left"/>
    </xf>
    <xf numFmtId="0" fontId="3" fillId="6" borderId="0" xfId="2" applyFill="1"/>
    <xf numFmtId="11" fontId="0" fillId="6" borderId="0" xfId="0" applyNumberFormat="1" applyFill="1"/>
    <xf numFmtId="0" fontId="23" fillId="15" borderId="11" xfId="9" applyFont="1" applyFill="1" applyBorder="1" applyAlignment="1">
      <alignment horizontal="left" wrapText="1"/>
    </xf>
    <xf numFmtId="0" fontId="24" fillId="15" borderId="11" xfId="10" applyFont="1" applyFill="1" applyBorder="1" applyAlignment="1">
      <alignment horizontal="center" vertical="top" wrapText="1"/>
    </xf>
    <xf numFmtId="0" fontId="23" fillId="15" borderId="11" xfId="11" applyFont="1" applyFill="1" applyBorder="1" applyAlignment="1">
      <alignment horizontal="center" wrapText="1"/>
    </xf>
    <xf numFmtId="0" fontId="0" fillId="0" borderId="0" xfId="0" applyAlignment="1"/>
    <xf numFmtId="0" fontId="0" fillId="0" borderId="0" xfId="0" applyAlignment="1">
      <alignment horizontal="left"/>
    </xf>
    <xf numFmtId="0" fontId="23" fillId="0" borderId="12" xfId="11" applyFont="1" applyFill="1" applyBorder="1" applyAlignment="1">
      <alignment horizontal="right"/>
    </xf>
    <xf numFmtId="0" fontId="23" fillId="0" borderId="12" xfId="11" applyFont="1" applyFill="1" applyBorder="1" applyAlignment="1"/>
    <xf numFmtId="0" fontId="25" fillId="0" borderId="12" xfId="11" applyFont="1" applyFill="1" applyBorder="1" applyAlignment="1"/>
    <xf numFmtId="11" fontId="25" fillId="0" borderId="12" xfId="11" applyNumberFormat="1" applyFont="1" applyFill="1" applyBorder="1" applyAlignment="1">
      <alignment horizontal="right"/>
    </xf>
    <xf numFmtId="0" fontId="25" fillId="0" borderId="12" xfId="11" applyFont="1" applyFill="1" applyBorder="1" applyAlignment="1">
      <alignment horizontal="right"/>
    </xf>
    <xf numFmtId="0" fontId="26" fillId="0" borderId="0" xfId="11" applyFont="1" applyAlignment="1"/>
    <xf numFmtId="166" fontId="25" fillId="0" borderId="12" xfId="11" applyNumberFormat="1" applyFont="1" applyFill="1" applyBorder="1" applyAlignment="1">
      <alignment horizontal="center"/>
    </xf>
    <xf numFmtId="11" fontId="25" fillId="0" borderId="0" xfId="11" applyNumberFormat="1" applyFont="1" applyFill="1" applyBorder="1" applyAlignment="1">
      <alignment horizontal="right"/>
    </xf>
    <xf numFmtId="0" fontId="27" fillId="0" borderId="0" xfId="0" applyFont="1" applyAlignment="1">
      <alignment horizontal="center"/>
    </xf>
    <xf numFmtId="167" fontId="0" fillId="0" borderId="0" xfId="0" applyNumberFormat="1" applyAlignment="1"/>
    <xf numFmtId="11" fontId="23" fillId="0" borderId="12" xfId="11" applyNumberFormat="1" applyFont="1" applyFill="1" applyBorder="1" applyAlignment="1">
      <alignment horizontal="right"/>
    </xf>
    <xf numFmtId="0" fontId="6" fillId="0" borderId="0" xfId="11" applyAlignment="1"/>
    <xf numFmtId="166" fontId="23" fillId="0" borderId="12" xfId="11" applyNumberFormat="1" applyFont="1" applyFill="1" applyBorder="1" applyAlignment="1">
      <alignment horizontal="center"/>
    </xf>
    <xf numFmtId="11" fontId="23" fillId="0" borderId="0" xfId="11" applyNumberFormat="1" applyFont="1" applyFill="1" applyBorder="1" applyAlignment="1">
      <alignment horizontal="right"/>
    </xf>
    <xf numFmtId="0" fontId="0" fillId="0" borderId="0" xfId="0" applyAlignment="1">
      <alignment horizontal="center"/>
    </xf>
    <xf numFmtId="168" fontId="0" fillId="0" borderId="0" xfId="0" applyNumberFormat="1" applyAlignment="1"/>
    <xf numFmtId="0" fontId="0" fillId="5" borderId="0" xfId="0" applyFill="1" applyAlignment="1"/>
    <xf numFmtId="0" fontId="22" fillId="5" borderId="0" xfId="0" applyFont="1" applyFill="1" applyAlignment="1"/>
    <xf numFmtId="0" fontId="23" fillId="5" borderId="12" xfId="11" applyFont="1" applyFill="1" applyBorder="1" applyAlignment="1">
      <alignment horizontal="right"/>
    </xf>
    <xf numFmtId="0" fontId="23" fillId="5" borderId="12" xfId="11" applyFont="1" applyFill="1" applyBorder="1" applyAlignment="1"/>
    <xf numFmtId="11" fontId="23" fillId="5" borderId="12" xfId="11" applyNumberFormat="1" applyFont="1" applyFill="1" applyBorder="1" applyAlignment="1">
      <alignment horizontal="right"/>
    </xf>
    <xf numFmtId="0" fontId="6" fillId="5" borderId="0" xfId="11" applyFill="1" applyAlignment="1"/>
    <xf numFmtId="166" fontId="23" fillId="5" borderId="12" xfId="11" applyNumberFormat="1" applyFont="1" applyFill="1" applyBorder="1" applyAlignment="1">
      <alignment horizontal="center"/>
    </xf>
    <xf numFmtId="11" fontId="28" fillId="5" borderId="0" xfId="11" applyNumberFormat="1" applyFont="1" applyFill="1" applyBorder="1" applyAlignment="1">
      <alignment horizontal="right"/>
    </xf>
    <xf numFmtId="0" fontId="0" fillId="5" borderId="0" xfId="0" applyFill="1" applyAlignment="1">
      <alignment horizontal="center"/>
    </xf>
    <xf numFmtId="0" fontId="22" fillId="0" borderId="0" xfId="0" applyFont="1" applyAlignment="1"/>
    <xf numFmtId="11" fontId="22" fillId="0" borderId="0" xfId="0" applyNumberFormat="1" applyFont="1" applyAlignment="1"/>
    <xf numFmtId="0" fontId="23" fillId="5" borderId="0" xfId="11" applyFont="1" applyFill="1" applyAlignment="1">
      <alignment horizontal="right"/>
    </xf>
    <xf numFmtId="11" fontId="23" fillId="5" borderId="0" xfId="11" applyNumberFormat="1" applyFont="1" applyFill="1" applyBorder="1" applyAlignment="1">
      <alignment horizontal="right"/>
    </xf>
    <xf numFmtId="11" fontId="0" fillId="0" borderId="0" xfId="0" applyNumberFormat="1" applyAlignment="1"/>
    <xf numFmtId="0" fontId="6" fillId="0" borderId="12" xfId="11" applyBorder="1" applyAlignment="1"/>
    <xf numFmtId="0" fontId="23" fillId="0" borderId="0" xfId="11" applyFont="1" applyFill="1" applyAlignment="1">
      <alignment horizontal="right"/>
    </xf>
    <xf numFmtId="11" fontId="23" fillId="0" borderId="0" xfId="11" applyNumberFormat="1" applyFont="1" applyFill="1" applyAlignment="1">
      <alignment horizontal="right"/>
    </xf>
    <xf numFmtId="0" fontId="29" fillId="0" borderId="0" xfId="0" applyFont="1" applyAlignment="1">
      <alignment horizontal="center"/>
    </xf>
    <xf numFmtId="0" fontId="0" fillId="0" borderId="0" xfId="0" applyAlignment="1">
      <alignment vertical="top"/>
    </xf>
    <xf numFmtId="0" fontId="24" fillId="15" borderId="11" xfId="10" applyFont="1" applyFill="1" applyBorder="1" applyAlignment="1">
      <alignment vertical="top" wrapText="1"/>
    </xf>
    <xf numFmtId="0" fontId="23" fillId="15" borderId="11" xfId="12" applyFont="1" applyFill="1" applyBorder="1" applyAlignment="1">
      <alignment vertical="top" wrapText="1"/>
    </xf>
    <xf numFmtId="0" fontId="29" fillId="0" borderId="0" xfId="0" applyFont="1" applyAlignment="1"/>
    <xf numFmtId="0" fontId="29" fillId="0" borderId="0" xfId="0" applyFont="1" applyAlignment="1">
      <alignment horizontal="center" vertical="top" wrapText="1"/>
    </xf>
    <xf numFmtId="0" fontId="30" fillId="0" borderId="12" xfId="12" applyFont="1" applyFill="1" applyBorder="1" applyAlignment="1">
      <alignment horizontal="right"/>
    </xf>
    <xf numFmtId="0" fontId="31" fillId="0" borderId="0" xfId="0" applyFont="1" applyAlignment="1"/>
    <xf numFmtId="0" fontId="30" fillId="0" borderId="12" xfId="12" applyFont="1" applyFill="1" applyBorder="1" applyAlignment="1"/>
    <xf numFmtId="11" fontId="30" fillId="0" borderId="12" xfId="12" applyNumberFormat="1" applyFont="1" applyFill="1" applyBorder="1" applyAlignment="1">
      <alignment horizontal="right"/>
    </xf>
    <xf numFmtId="0" fontId="32" fillId="0" borderId="12" xfId="12" applyFont="1" applyBorder="1" applyAlignment="1"/>
    <xf numFmtId="166" fontId="30" fillId="0" borderId="12" xfId="12" applyNumberFormat="1" applyFont="1" applyFill="1" applyBorder="1" applyAlignment="1">
      <alignment horizontal="right"/>
    </xf>
    <xf numFmtId="11" fontId="31" fillId="0" borderId="0" xfId="0" applyNumberFormat="1" applyFont="1" applyAlignment="1"/>
    <xf numFmtId="169" fontId="31" fillId="0" borderId="0" xfId="0" applyNumberFormat="1" applyFont="1" applyAlignment="1"/>
    <xf numFmtId="169" fontId="29" fillId="0" borderId="0" xfId="0" applyNumberFormat="1" applyFont="1" applyAlignment="1"/>
    <xf numFmtId="0" fontId="29" fillId="5" borderId="0" xfId="0" applyFont="1" applyFill="1" applyAlignment="1">
      <alignment horizontal="center"/>
    </xf>
    <xf numFmtId="0" fontId="33" fillId="5" borderId="12" xfId="12" applyFont="1" applyFill="1" applyBorder="1" applyAlignment="1">
      <alignment horizontal="right"/>
    </xf>
    <xf numFmtId="0" fontId="29" fillId="5" borderId="0" xfId="0" applyFont="1" applyFill="1" applyAlignment="1"/>
    <xf numFmtId="0" fontId="33" fillId="5" borderId="12" xfId="12" applyFont="1" applyFill="1" applyBorder="1" applyAlignment="1"/>
    <xf numFmtId="11" fontId="33" fillId="5" borderId="12" xfId="12" applyNumberFormat="1" applyFont="1" applyFill="1" applyBorder="1" applyAlignment="1">
      <alignment horizontal="right"/>
    </xf>
    <xf numFmtId="0" fontId="3" fillId="5" borderId="0" xfId="12" applyFont="1" applyFill="1" applyAlignment="1"/>
    <xf numFmtId="166" fontId="33" fillId="5" borderId="12" xfId="12" applyNumberFormat="1" applyFont="1" applyFill="1" applyBorder="1" applyAlignment="1">
      <alignment horizontal="right"/>
    </xf>
    <xf numFmtId="11" fontId="29" fillId="5" borderId="0" xfId="0" applyNumberFormat="1" applyFont="1" applyFill="1" applyAlignment="1"/>
    <xf numFmtId="169" fontId="29" fillId="5" borderId="0" xfId="0" applyNumberFormat="1" applyFont="1" applyFill="1" applyAlignment="1"/>
    <xf numFmtId="0" fontId="23" fillId="0" borderId="12" xfId="12" applyFont="1" applyFill="1" applyBorder="1" applyAlignment="1">
      <alignment horizontal="right"/>
    </xf>
    <xf numFmtId="0" fontId="23" fillId="0" borderId="12" xfId="12" applyFont="1" applyFill="1" applyBorder="1" applyAlignment="1"/>
    <xf numFmtId="11" fontId="23" fillId="0" borderId="12" xfId="12" applyNumberFormat="1" applyFont="1" applyFill="1" applyBorder="1" applyAlignment="1">
      <alignment horizontal="right"/>
    </xf>
    <xf numFmtId="0" fontId="6" fillId="0" borderId="0" xfId="12" applyAlignment="1"/>
    <xf numFmtId="166" fontId="23" fillId="0" borderId="12" xfId="12" applyNumberFormat="1" applyFont="1" applyFill="1" applyBorder="1" applyAlignment="1">
      <alignment horizontal="right"/>
    </xf>
    <xf numFmtId="0" fontId="23" fillId="0" borderId="0" xfId="12" applyFont="1" applyFill="1" applyAlignment="1">
      <alignment horizontal="right"/>
    </xf>
    <xf numFmtId="11" fontId="23" fillId="0" borderId="0" xfId="12" applyNumberFormat="1" applyFont="1" applyFill="1" applyAlignment="1">
      <alignment horizontal="right"/>
    </xf>
    <xf numFmtId="11" fontId="6" fillId="0" borderId="12" xfId="12" applyNumberFormat="1" applyBorder="1" applyAlignment="1"/>
    <xf numFmtId="11" fontId="6" fillId="0" borderId="0" xfId="12" applyNumberFormat="1" applyAlignment="1"/>
    <xf numFmtId="0" fontId="6" fillId="0" borderId="12" xfId="12" applyBorder="1" applyAlignment="1"/>
    <xf numFmtId="0" fontId="1" fillId="0" borderId="0" xfId="4" applyAlignment="1">
      <alignment horizontal="center"/>
    </xf>
    <xf numFmtId="0" fontId="22" fillId="0" borderId="0" xfId="4" applyFont="1" applyAlignment="1">
      <alignment horizontal="center"/>
    </xf>
    <xf numFmtId="0" fontId="1" fillId="0" borderId="0" xfId="4"/>
    <xf numFmtId="0" fontId="23" fillId="15" borderId="11" xfId="9" applyFont="1" applyFill="1" applyBorder="1" applyAlignment="1">
      <alignment horizontal="center"/>
    </xf>
    <xf numFmtId="0" fontId="28" fillId="15" borderId="11" xfId="9" applyFont="1" applyFill="1" applyBorder="1" applyAlignment="1">
      <alignment horizontal="center"/>
    </xf>
    <xf numFmtId="0" fontId="34" fillId="15" borderId="0" xfId="10" applyFont="1" applyFill="1" applyBorder="1" applyAlignment="1">
      <alignment horizontal="center"/>
    </xf>
    <xf numFmtId="168" fontId="34" fillId="15" borderId="0" xfId="10" applyNumberFormat="1" applyFont="1" applyFill="1" applyBorder="1" applyAlignment="1">
      <alignment horizontal="center"/>
    </xf>
    <xf numFmtId="168" fontId="35" fillId="15" borderId="0" xfId="10" applyNumberFormat="1" applyFont="1" applyFill="1" applyBorder="1" applyAlignment="1">
      <alignment horizontal="center"/>
    </xf>
    <xf numFmtId="0" fontId="34" fillId="0" borderId="0" xfId="10" applyFont="1" applyFill="1" applyBorder="1" applyAlignment="1">
      <alignment horizontal="center"/>
    </xf>
    <xf numFmtId="0" fontId="36" fillId="0" borderId="0" xfId="4" applyFont="1"/>
    <xf numFmtId="0" fontId="23" fillId="0" borderId="12" xfId="9" applyFont="1" applyFill="1" applyBorder="1" applyAlignment="1">
      <alignment wrapText="1"/>
    </xf>
    <xf numFmtId="0" fontId="23" fillId="0" borderId="12" xfId="9" applyFont="1" applyFill="1" applyBorder="1" applyAlignment="1">
      <alignment horizontal="right" wrapText="1"/>
    </xf>
    <xf numFmtId="0" fontId="23" fillId="0" borderId="12" xfId="9" applyFont="1" applyFill="1" applyBorder="1" applyAlignment="1">
      <alignment horizontal="center" wrapText="1"/>
    </xf>
    <xf numFmtId="0" fontId="6" fillId="0" borderId="12" xfId="9" applyBorder="1"/>
    <xf numFmtId="0" fontId="28" fillId="0" borderId="12" xfId="9" applyFont="1" applyFill="1" applyBorder="1" applyAlignment="1">
      <alignment horizontal="right" wrapText="1"/>
    </xf>
    <xf numFmtId="170" fontId="23" fillId="0" borderId="0" xfId="9" applyNumberFormat="1" applyFont="1" applyFill="1" applyAlignment="1">
      <alignment horizontal="right" wrapText="1"/>
    </xf>
    <xf numFmtId="0" fontId="6" fillId="0" borderId="0" xfId="9"/>
    <xf numFmtId="0" fontId="23" fillId="0" borderId="0" xfId="9" applyFont="1" applyFill="1" applyAlignment="1">
      <alignment horizontal="right" wrapText="1"/>
    </xf>
    <xf numFmtId="170" fontId="23" fillId="0" borderId="12" xfId="9" applyNumberFormat="1" applyFont="1" applyFill="1" applyBorder="1" applyAlignment="1">
      <alignment horizontal="right" wrapText="1"/>
    </xf>
    <xf numFmtId="0" fontId="1" fillId="5" borderId="0" xfId="4" applyFill="1"/>
    <xf numFmtId="0" fontId="22" fillId="0" borderId="0" xfId="4" applyFont="1"/>
    <xf numFmtId="0" fontId="0" fillId="0" borderId="0" xfId="0" applyFill="1" applyBorder="1" applyAlignment="1">
      <alignment horizontal="center"/>
    </xf>
    <xf numFmtId="165" fontId="0" fillId="0" borderId="0" xfId="0" applyNumberFormat="1" applyBorder="1" applyAlignment="1">
      <alignment horizontal="center"/>
    </xf>
    <xf numFmtId="0" fontId="0" fillId="16" borderId="0" xfId="0" applyFill="1" applyAlignment="1">
      <alignment horizontal="center"/>
    </xf>
    <xf numFmtId="171" fontId="0" fillId="0" borderId="0" xfId="0" applyNumberFormat="1" applyAlignment="1">
      <alignment horizontal="center"/>
    </xf>
    <xf numFmtId="0" fontId="0" fillId="0" borderId="0" xfId="0" applyFill="1" applyBorder="1" applyAlignment="1">
      <alignment horizontal="left"/>
    </xf>
    <xf numFmtId="0" fontId="0" fillId="16" borderId="0" xfId="0" applyFill="1"/>
    <xf numFmtId="171" fontId="0" fillId="0" borderId="0" xfId="0" applyNumberFormat="1"/>
    <xf numFmtId="0" fontId="22" fillId="17" borderId="15" xfId="0" applyFont="1" applyFill="1" applyBorder="1" applyAlignment="1">
      <alignment horizontal="center"/>
    </xf>
    <xf numFmtId="0" fontId="22" fillId="17" borderId="17" xfId="0" applyFont="1" applyFill="1" applyBorder="1" applyAlignment="1">
      <alignment horizontal="center"/>
    </xf>
    <xf numFmtId="0" fontId="22" fillId="17" borderId="13" xfId="0" applyFont="1" applyFill="1" applyBorder="1" applyAlignment="1">
      <alignment horizontal="center"/>
    </xf>
    <xf numFmtId="0" fontId="22" fillId="17" borderId="16" xfId="0" applyFont="1" applyFill="1" applyBorder="1" applyAlignment="1">
      <alignment horizontal="center"/>
    </xf>
    <xf numFmtId="0" fontId="22" fillId="5" borderId="0" xfId="0" applyFont="1" applyFill="1"/>
    <xf numFmtId="171" fontId="22" fillId="5" borderId="0" xfId="0" applyNumberFormat="1" applyFont="1" applyFill="1"/>
    <xf numFmtId="0" fontId="0" fillId="0" borderId="18" xfId="0" applyBorder="1" applyAlignment="1">
      <alignment wrapText="1"/>
    </xf>
    <xf numFmtId="0" fontId="0" fillId="0" borderId="19" xfId="0" applyBorder="1" applyAlignment="1">
      <alignment wrapText="1"/>
    </xf>
    <xf numFmtId="0" fontId="0" fillId="0" borderId="20" xfId="0" applyFill="1" applyBorder="1" applyAlignment="1">
      <alignment horizontal="center" wrapText="1"/>
    </xf>
    <xf numFmtId="0" fontId="23" fillId="0" borderId="19" xfId="9" applyFont="1" applyFill="1" applyBorder="1" applyAlignment="1">
      <alignment horizontal="center" wrapText="1"/>
    </xf>
    <xf numFmtId="0" fontId="0" fillId="0" borderId="19" xfId="0" applyFill="1" applyBorder="1" applyAlignment="1">
      <alignment horizontal="center" wrapText="1"/>
    </xf>
    <xf numFmtId="0" fontId="0" fillId="0" borderId="19" xfId="0" applyFill="1" applyBorder="1" applyAlignment="1">
      <alignment wrapText="1"/>
    </xf>
    <xf numFmtId="0" fontId="0" fillId="0" borderId="21" xfId="0" applyFill="1" applyBorder="1" applyAlignment="1">
      <alignment horizontal="center" wrapText="1"/>
    </xf>
    <xf numFmtId="0" fontId="0" fillId="0" borderId="18" xfId="0" applyFill="1" applyBorder="1" applyAlignment="1">
      <alignment horizontal="center" wrapText="1"/>
    </xf>
    <xf numFmtId="0" fontId="0" fillId="16" borderId="0" xfId="0" applyFill="1" applyAlignment="1">
      <alignment vertical="top"/>
    </xf>
    <xf numFmtId="0" fontId="0" fillId="0" borderId="0" xfId="0" applyAlignment="1">
      <alignment wrapText="1"/>
    </xf>
    <xf numFmtId="171" fontId="0" fillId="0" borderId="0" xfId="0" applyNumberFormat="1" applyAlignment="1">
      <alignment wrapText="1"/>
    </xf>
    <xf numFmtId="0" fontId="0" fillId="0" borderId="0" xfId="0" applyFill="1" applyBorder="1"/>
    <xf numFmtId="0" fontId="0" fillId="0" borderId="0" xfId="0" applyBorder="1" applyAlignment="1">
      <alignment horizontal="center"/>
    </xf>
    <xf numFmtId="11" fontId="6" fillId="0" borderId="0" xfId="13" applyNumberFormat="1" applyFill="1" applyBorder="1"/>
    <xf numFmtId="172" fontId="0" fillId="0" borderId="0" xfId="0" applyNumberFormat="1"/>
    <xf numFmtId="0" fontId="0" fillId="0" borderId="24" xfId="0" applyFill="1" applyBorder="1"/>
    <xf numFmtId="0" fontId="0" fillId="0" borderId="0" xfId="0" applyBorder="1"/>
    <xf numFmtId="172" fontId="0" fillId="0" borderId="0" xfId="0" applyNumberFormat="1" applyFill="1"/>
    <xf numFmtId="0" fontId="0" fillId="0" borderId="0" xfId="0" applyFill="1" applyBorder="1" applyAlignment="1">
      <alignment wrapText="1"/>
    </xf>
    <xf numFmtId="0" fontId="0" fillId="0" borderId="0" xfId="0" applyFill="1" applyAlignment="1">
      <alignment wrapText="1"/>
    </xf>
    <xf numFmtId="0" fontId="0" fillId="0" borderId="0" xfId="0" applyFont="1" applyFill="1" applyBorder="1"/>
    <xf numFmtId="0" fontId="27" fillId="0" borderId="0" xfId="0" applyFont="1" applyFill="1" applyBorder="1"/>
    <xf numFmtId="0" fontId="22" fillId="0" borderId="0" xfId="0" applyFont="1"/>
    <xf numFmtId="0" fontId="27" fillId="0" borderId="22" xfId="0" applyFont="1" applyFill="1" applyBorder="1" applyAlignment="1">
      <alignment horizontal="center"/>
    </xf>
    <xf numFmtId="0" fontId="39" fillId="0" borderId="22" xfId="0" applyFont="1" applyFill="1" applyBorder="1" applyAlignment="1">
      <alignment horizontal="center"/>
    </xf>
    <xf numFmtId="0" fontId="39" fillId="0" borderId="0" xfId="0" applyFont="1" applyFill="1" applyBorder="1" applyAlignment="1">
      <alignment horizontal="right"/>
    </xf>
    <xf numFmtId="0" fontId="27" fillId="0" borderId="0" xfId="0" applyFont="1" applyFill="1" applyBorder="1" applyAlignment="1">
      <alignment horizontal="left"/>
    </xf>
    <xf numFmtId="0" fontId="27" fillId="5" borderId="0" xfId="0" applyFont="1" applyFill="1" applyBorder="1"/>
    <xf numFmtId="0" fontId="27" fillId="5" borderId="23" xfId="0" applyFont="1" applyFill="1" applyBorder="1"/>
    <xf numFmtId="11" fontId="27" fillId="0" borderId="0" xfId="6" applyNumberFormat="1" applyFont="1" applyFill="1" applyBorder="1" applyAlignment="1">
      <alignment horizontal="center"/>
    </xf>
    <xf numFmtId="11" fontId="27" fillId="0" borderId="0" xfId="0" applyNumberFormat="1" applyFont="1" applyFill="1" applyBorder="1" applyAlignment="1">
      <alignment horizontal="center"/>
    </xf>
    <xf numFmtId="0" fontId="27" fillId="0" borderId="0" xfId="0" applyFont="1" applyFill="1" applyBorder="1" applyAlignment="1">
      <alignment horizontal="center"/>
    </xf>
    <xf numFmtId="165" fontId="27" fillId="0" borderId="0" xfId="0" applyNumberFormat="1" applyFont="1" applyFill="1" applyBorder="1" applyAlignment="1">
      <alignment horizontal="center"/>
    </xf>
    <xf numFmtId="0" fontId="27" fillId="0" borderId="2" xfId="0" applyFont="1" applyFill="1" applyBorder="1" applyAlignment="1">
      <alignment horizontal="center"/>
    </xf>
    <xf numFmtId="0" fontId="27" fillId="0" borderId="2" xfId="0" applyFont="1" applyBorder="1" applyAlignment="1">
      <alignment horizontal="center"/>
    </xf>
    <xf numFmtId="0" fontId="27" fillId="0" borderId="0" xfId="0" applyFont="1" applyBorder="1" applyAlignment="1">
      <alignment horizontal="center"/>
    </xf>
    <xf numFmtId="11" fontId="26" fillId="0" borderId="0" xfId="13" applyNumberFormat="1" applyFont="1" applyFill="1" applyBorder="1"/>
    <xf numFmtId="10" fontId="27" fillId="0" borderId="0" xfId="0" applyNumberFormat="1" applyFont="1" applyFill="1" applyBorder="1"/>
    <xf numFmtId="10" fontId="27" fillId="0" borderId="22" xfId="0" applyNumberFormat="1" applyFont="1" applyFill="1" applyBorder="1"/>
    <xf numFmtId="2" fontId="40" fillId="0" borderId="0" xfId="13" applyNumberFormat="1" applyFont="1" applyFill="1" applyBorder="1" applyAlignment="1">
      <alignment horizontal="center"/>
    </xf>
    <xf numFmtId="168" fontId="26" fillId="0" borderId="22" xfId="13" applyNumberFormat="1" applyFont="1" applyFill="1" applyBorder="1"/>
    <xf numFmtId="0" fontId="27" fillId="16" borderId="0" xfId="0" applyFont="1" applyFill="1" applyAlignment="1">
      <alignment vertical="top"/>
    </xf>
    <xf numFmtId="0" fontId="27" fillId="0" borderId="0" xfId="0" applyFont="1" applyFill="1"/>
    <xf numFmtId="172" fontId="27" fillId="0" borderId="0" xfId="0" applyNumberFormat="1" applyFont="1" applyFill="1"/>
    <xf numFmtId="9" fontId="27" fillId="0" borderId="0" xfId="0" applyNumberFormat="1" applyFont="1" applyFill="1"/>
    <xf numFmtId="0" fontId="27" fillId="0" borderId="22" xfId="0" applyFont="1" applyFill="1" applyBorder="1"/>
    <xf numFmtId="0" fontId="27" fillId="0" borderId="2" xfId="0" applyFont="1" applyFill="1" applyBorder="1"/>
    <xf numFmtId="173" fontId="27" fillId="0" borderId="0" xfId="6" applyNumberFormat="1" applyFont="1" applyFill="1"/>
    <xf numFmtId="0" fontId="0" fillId="0" borderId="0" xfId="0" applyNumberFormat="1"/>
    <xf numFmtId="0" fontId="27" fillId="0" borderId="22" xfId="0" applyFont="1" applyBorder="1" applyAlignment="1">
      <alignment horizontal="center"/>
    </xf>
    <xf numFmtId="0" fontId="27" fillId="0" borderId="0" xfId="0" applyFont="1"/>
    <xf numFmtId="0" fontId="39" fillId="0" borderId="0" xfId="0" applyFont="1" applyAlignment="1">
      <alignment horizontal="right"/>
    </xf>
    <xf numFmtId="0" fontId="27" fillId="0" borderId="22" xfId="0" applyFont="1" applyBorder="1"/>
    <xf numFmtId="0" fontId="27" fillId="0" borderId="2" xfId="0" applyFont="1" applyBorder="1"/>
    <xf numFmtId="166" fontId="27" fillId="0" borderId="0" xfId="0" applyNumberFormat="1" applyFont="1" applyAlignment="1">
      <alignment horizontal="center"/>
    </xf>
    <xf numFmtId="11" fontId="27" fillId="0" borderId="0" xfId="0" applyNumberFormat="1" applyFont="1"/>
    <xf numFmtId="167" fontId="26" fillId="0" borderId="22" xfId="13" applyNumberFormat="1" applyFont="1" applyFill="1" applyBorder="1"/>
    <xf numFmtId="0" fontId="0" fillId="17" borderId="1" xfId="0" applyFill="1" applyBorder="1"/>
    <xf numFmtId="171" fontId="0" fillId="17" borderId="1" xfId="0" applyNumberFormat="1" applyFill="1" applyBorder="1"/>
    <xf numFmtId="174" fontId="0" fillId="0" borderId="0" xfId="6" applyNumberFormat="1" applyFont="1"/>
    <xf numFmtId="0" fontId="0" fillId="17" borderId="3" xfId="0" applyFill="1" applyBorder="1"/>
    <xf numFmtId="171" fontId="0" fillId="17" borderId="3" xfId="0" applyNumberFormat="1" applyFill="1" applyBorder="1"/>
    <xf numFmtId="0" fontId="0" fillId="0" borderId="0" xfId="0" applyFont="1"/>
    <xf numFmtId="9" fontId="27" fillId="0" borderId="0" xfId="0" applyNumberFormat="1" applyFont="1"/>
    <xf numFmtId="0" fontId="27" fillId="0" borderId="0" xfId="0" applyFont="1" applyAlignment="1"/>
    <xf numFmtId="11" fontId="41" fillId="0" borderId="0" xfId="13" applyNumberFormat="1" applyFont="1" applyFill="1" applyBorder="1"/>
    <xf numFmtId="168" fontId="41" fillId="0" borderId="0" xfId="13" applyNumberFormat="1" applyFont="1" applyFill="1" applyBorder="1"/>
    <xf numFmtId="175" fontId="0" fillId="0" borderId="0" xfId="0" applyNumberFormat="1"/>
    <xf numFmtId="0" fontId="0" fillId="0" borderId="0" xfId="0" applyFont="1" applyAlignment="1">
      <alignment horizontal="center"/>
    </xf>
    <xf numFmtId="9" fontId="0" fillId="0" borderId="0" xfId="0" applyNumberFormat="1" applyFont="1"/>
    <xf numFmtId="11" fontId="0" fillId="0" borderId="0" xfId="0" applyNumberFormat="1" applyFont="1"/>
    <xf numFmtId="0" fontId="0" fillId="0" borderId="0" xfId="0" applyFont="1" applyFill="1" applyBorder="1" applyAlignment="1">
      <alignment horizontal="center"/>
    </xf>
    <xf numFmtId="0" fontId="0" fillId="0" borderId="0" xfId="0" applyFont="1" applyAlignment="1"/>
    <xf numFmtId="11" fontId="24" fillId="0" borderId="0" xfId="13" applyNumberFormat="1" applyFont="1" applyFill="1" applyBorder="1"/>
    <xf numFmtId="168" fontId="24" fillId="0" borderId="0" xfId="13" applyNumberFormat="1" applyFont="1" applyFill="1" applyBorder="1"/>
    <xf numFmtId="0" fontId="23" fillId="15" borderId="11" xfId="14" applyFont="1" applyFill="1" applyBorder="1" applyAlignment="1">
      <alignment horizontal="left"/>
    </xf>
    <xf numFmtId="0" fontId="23" fillId="15" borderId="11" xfId="14" applyFont="1" applyFill="1" applyBorder="1" applyAlignment="1">
      <alignment horizontal="center"/>
    </xf>
    <xf numFmtId="0" fontId="23" fillId="15" borderId="11" xfId="10" applyFont="1" applyFill="1" applyBorder="1" applyAlignment="1">
      <alignment horizontal="center" wrapText="1"/>
    </xf>
    <xf numFmtId="0" fontId="23" fillId="18" borderId="11" xfId="10" applyFont="1" applyFill="1" applyBorder="1" applyAlignment="1">
      <alignment horizontal="center" wrapText="1"/>
    </xf>
    <xf numFmtId="9" fontId="0" fillId="0" borderId="0" xfId="0" applyNumberFormat="1"/>
    <xf numFmtId="0" fontId="23" fillId="0" borderId="12" xfId="14" applyFont="1" applyFill="1" applyBorder="1" applyAlignment="1">
      <alignment horizontal="right" wrapText="1"/>
    </xf>
    <xf numFmtId="0" fontId="23" fillId="0" borderId="12" xfId="14" applyFont="1" applyFill="1" applyBorder="1" applyAlignment="1">
      <alignment wrapText="1"/>
    </xf>
    <xf numFmtId="14" fontId="23" fillId="0" borderId="12" xfId="14" applyNumberFormat="1" applyFont="1" applyFill="1" applyBorder="1" applyAlignment="1">
      <alignment horizontal="right" wrapText="1"/>
    </xf>
    <xf numFmtId="11" fontId="23" fillId="0" borderId="12" xfId="14" applyNumberFormat="1" applyFont="1" applyFill="1" applyBorder="1" applyAlignment="1">
      <alignment horizontal="right" wrapText="1"/>
    </xf>
    <xf numFmtId="0" fontId="6" fillId="0" borderId="0" xfId="14"/>
    <xf numFmtId="0" fontId="23" fillId="0" borderId="12" xfId="10" applyFont="1" applyFill="1" applyBorder="1" applyAlignment="1">
      <alignment horizontal="right" wrapText="1"/>
    </xf>
    <xf numFmtId="0" fontId="23" fillId="0" borderId="12" xfId="10" applyFont="1" applyFill="1" applyBorder="1" applyAlignment="1">
      <alignment wrapText="1"/>
    </xf>
    <xf numFmtId="170" fontId="23" fillId="0" borderId="12" xfId="10" applyNumberFormat="1" applyFont="1" applyFill="1" applyBorder="1" applyAlignment="1">
      <alignment horizontal="right" wrapText="1"/>
    </xf>
    <xf numFmtId="0" fontId="23" fillId="0" borderId="12" xfId="10" applyFont="1" applyFill="1" applyBorder="1" applyAlignment="1">
      <alignment horizontal="center" wrapText="1"/>
    </xf>
    <xf numFmtId="0" fontId="23" fillId="5" borderId="12" xfId="10" applyFont="1" applyFill="1" applyBorder="1" applyAlignment="1">
      <alignment horizontal="right" wrapText="1"/>
    </xf>
    <xf numFmtId="0" fontId="23" fillId="5" borderId="12" xfId="10" applyFont="1" applyFill="1" applyBorder="1" applyAlignment="1">
      <alignment wrapText="1"/>
    </xf>
    <xf numFmtId="0" fontId="0" fillId="0" borderId="4" xfId="0" applyBorder="1" applyAlignment="1">
      <alignment horizontal="center"/>
    </xf>
    <xf numFmtId="11" fontId="0" fillId="0" borderId="4" xfId="0" applyNumberFormat="1" applyBorder="1"/>
    <xf numFmtId="43" fontId="0" fillId="0" borderId="0" xfId="6" applyFont="1"/>
    <xf numFmtId="0" fontId="0" fillId="0" borderId="4" xfId="0" applyBorder="1" applyAlignment="1"/>
    <xf numFmtId="0" fontId="0" fillId="0" borderId="4" xfId="0" applyFill="1" applyBorder="1" applyAlignment="1"/>
    <xf numFmtId="0" fontId="0" fillId="0" borderId="4" xfId="0" applyFill="1" applyBorder="1" applyAlignment="1">
      <alignment horizontal="center"/>
    </xf>
    <xf numFmtId="0" fontId="0" fillId="0" borderId="4" xfId="0" applyBorder="1" applyAlignment="1">
      <alignment horizontal="left" indent="1"/>
    </xf>
    <xf numFmtId="0" fontId="0" fillId="0" borderId="4" xfId="0" applyFill="1" applyBorder="1" applyAlignment="1">
      <alignment horizontal="left"/>
    </xf>
    <xf numFmtId="0" fontId="0" fillId="0" borderId="4" xfId="0" applyFill="1" applyBorder="1"/>
    <xf numFmtId="0" fontId="0" fillId="0" borderId="4" xfId="0" applyFill="1" applyBorder="1" applyAlignment="1">
      <alignment horizontal="left" indent="1"/>
    </xf>
    <xf numFmtId="176" fontId="0" fillId="0" borderId="0" xfId="0" applyNumberFormat="1" applyAlignment="1">
      <alignment horizontal="center"/>
    </xf>
    <xf numFmtId="0" fontId="0" fillId="0" borderId="0" xfId="0" applyAlignment="1">
      <alignment horizontal="right"/>
    </xf>
    <xf numFmtId="0" fontId="0" fillId="0" borderId="1" xfId="0" applyBorder="1" applyAlignment="1">
      <alignment horizontal="center"/>
    </xf>
    <xf numFmtId="0" fontId="27" fillId="0" borderId="25" xfId="0" applyFont="1" applyFill="1" applyBorder="1" applyAlignment="1">
      <alignment horizontal="left"/>
    </xf>
    <xf numFmtId="167" fontId="27" fillId="0" borderId="4" xfId="0" applyNumberFormat="1" applyFont="1" applyFill="1" applyBorder="1" applyAlignment="1">
      <alignment horizontal="center"/>
    </xf>
    <xf numFmtId="168" fontId="27" fillId="0" borderId="25" xfId="0" applyNumberFormat="1" applyFont="1" applyFill="1" applyBorder="1" applyAlignment="1">
      <alignment horizontal="center"/>
    </xf>
    <xf numFmtId="0" fontId="27" fillId="0" borderId="25" xfId="0" applyFont="1" applyFill="1" applyBorder="1"/>
    <xf numFmtId="168" fontId="27" fillId="0" borderId="4" xfId="0" applyNumberFormat="1" applyFont="1" applyFill="1" applyBorder="1" applyAlignment="1">
      <alignment horizontal="center"/>
    </xf>
    <xf numFmtId="168" fontId="27" fillId="0" borderId="25" xfId="0" applyNumberFormat="1" applyFont="1" applyFill="1" applyBorder="1"/>
    <xf numFmtId="0" fontId="0" fillId="0" borderId="25" xfId="0" applyFill="1" applyBorder="1"/>
    <xf numFmtId="168" fontId="0" fillId="0" borderId="4" xfId="0" applyNumberFormat="1" applyFill="1" applyBorder="1" applyAlignment="1">
      <alignment horizontal="center"/>
    </xf>
    <xf numFmtId="168" fontId="0" fillId="0" borderId="25" xfId="0" applyNumberFormat="1" applyFill="1" applyBorder="1" applyAlignment="1">
      <alignment horizontal="center"/>
    </xf>
    <xf numFmtId="168" fontId="0" fillId="0" borderId="25" xfId="0" applyNumberFormat="1" applyFill="1" applyBorder="1"/>
    <xf numFmtId="0" fontId="0" fillId="0" borderId="26" xfId="0" applyFill="1" applyBorder="1"/>
    <xf numFmtId="0" fontId="0" fillId="0" borderId="14" xfId="0" applyBorder="1" applyAlignment="1">
      <alignment horizontal="center"/>
    </xf>
    <xf numFmtId="0" fontId="0" fillId="0" borderId="14" xfId="0" applyBorder="1"/>
    <xf numFmtId="11" fontId="0" fillId="0" borderId="26" xfId="0" applyNumberFormat="1" applyFill="1" applyBorder="1" applyAlignment="1">
      <alignment horizontal="center"/>
    </xf>
    <xf numFmtId="168" fontId="0" fillId="0" borderId="26" xfId="0" applyNumberFormat="1" applyFill="1" applyBorder="1" applyAlignment="1">
      <alignment horizontal="center"/>
    </xf>
    <xf numFmtId="0" fontId="0" fillId="0" borderId="25" xfId="0" applyBorder="1"/>
    <xf numFmtId="0" fontId="0" fillId="0" borderId="4" xfId="0" applyFont="1" applyBorder="1" applyAlignment="1">
      <alignment horizontal="left"/>
    </xf>
    <xf numFmtId="11" fontId="0" fillId="0" borderId="25" xfId="0" applyNumberFormat="1" applyFill="1" applyBorder="1" applyAlignment="1">
      <alignment horizontal="center"/>
    </xf>
    <xf numFmtId="11" fontId="27" fillId="0" borderId="26" xfId="0" applyNumberFormat="1" applyFont="1" applyFill="1" applyBorder="1" applyAlignment="1">
      <alignment horizontal="center"/>
    </xf>
    <xf numFmtId="168" fontId="27" fillId="0" borderId="26" xfId="0" applyNumberFormat="1" applyFont="1" applyFill="1" applyBorder="1" applyAlignment="1">
      <alignment horizontal="center"/>
    </xf>
    <xf numFmtId="11" fontId="27" fillId="0" borderId="4" xfId="0" applyNumberFormat="1" applyFont="1" applyFill="1" applyBorder="1" applyAlignment="1">
      <alignment horizontal="center"/>
    </xf>
    <xf numFmtId="0" fontId="0" fillId="0" borderId="0" xfId="0" quotePrefix="1"/>
    <xf numFmtId="11" fontId="0" fillId="0" borderId="0" xfId="0" quotePrefix="1" applyNumberFormat="1"/>
    <xf numFmtId="0" fontId="0" fillId="20" borderId="0" xfId="0" applyFill="1"/>
    <xf numFmtId="0" fontId="22" fillId="20" borderId="28" xfId="0" quotePrefix="1" applyFont="1" applyFill="1" applyBorder="1" applyAlignment="1">
      <alignment horizontal="center"/>
    </xf>
    <xf numFmtId="0" fontId="27" fillId="0" borderId="29" xfId="0" applyFont="1" applyBorder="1" applyAlignment="1">
      <alignment horizontal="center"/>
    </xf>
    <xf numFmtId="11" fontId="0" fillId="0" borderId="28" xfId="0" applyNumberFormat="1" applyBorder="1"/>
    <xf numFmtId="0" fontId="0" fillId="0" borderId="29" xfId="0" applyBorder="1"/>
    <xf numFmtId="0" fontId="0" fillId="0" borderId="28" xfId="0" applyBorder="1"/>
    <xf numFmtId="0" fontId="0" fillId="0" borderId="28" xfId="0" applyBorder="1" applyAlignment="1">
      <alignment horizontal="center"/>
    </xf>
    <xf numFmtId="166" fontId="0" fillId="0" borderId="24" xfId="0" applyNumberFormat="1" applyBorder="1"/>
    <xf numFmtId="0" fontId="0" fillId="0" borderId="24" xfId="0" applyBorder="1"/>
    <xf numFmtId="0" fontId="0" fillId="0" borderId="30" xfId="0" applyBorder="1"/>
    <xf numFmtId="0" fontId="27" fillId="0" borderId="31" xfId="0" applyFont="1" applyBorder="1" applyAlignment="1">
      <alignment horizontal="center"/>
    </xf>
    <xf numFmtId="0" fontId="0" fillId="0" borderId="31" xfId="0" applyBorder="1"/>
    <xf numFmtId="43" fontId="0" fillId="0" borderId="32" xfId="6" applyFont="1" applyBorder="1"/>
    <xf numFmtId="49" fontId="0" fillId="0" borderId="32" xfId="0" applyNumberFormat="1" applyBorder="1" applyAlignment="1">
      <alignment horizontal="left"/>
    </xf>
    <xf numFmtId="0" fontId="0" fillId="21" borderId="0" xfId="0" applyFill="1" applyAlignment="1">
      <alignment wrapText="1"/>
    </xf>
    <xf numFmtId="0" fontId="23" fillId="15" borderId="11" xfId="13" applyFont="1" applyFill="1" applyBorder="1" applyAlignment="1">
      <alignment horizontal="center" wrapText="1"/>
    </xf>
    <xf numFmtId="0" fontId="23" fillId="18" borderId="11" xfId="13" applyFont="1" applyFill="1" applyBorder="1" applyAlignment="1">
      <alignment horizontal="center" wrapText="1"/>
    </xf>
    <xf numFmtId="0" fontId="23" fillId="15" borderId="33" xfId="13" applyFont="1" applyFill="1" applyBorder="1" applyAlignment="1">
      <alignment horizontal="center" wrapText="1"/>
    </xf>
    <xf numFmtId="0" fontId="37" fillId="5" borderId="4" xfId="0" applyFont="1" applyFill="1" applyBorder="1" applyAlignment="1">
      <alignment horizontal="center" wrapText="1"/>
    </xf>
    <xf numFmtId="0" fontId="23" fillId="0" borderId="34" xfId="13" applyFont="1" applyFill="1" applyBorder="1" applyAlignment="1">
      <alignment horizontal="right"/>
    </xf>
    <xf numFmtId="0" fontId="23" fillId="0" borderId="34" xfId="13" applyFont="1" applyFill="1" applyBorder="1" applyAlignment="1"/>
    <xf numFmtId="170" fontId="23" fillId="0" borderId="34" xfId="13" applyNumberFormat="1" applyFont="1" applyFill="1" applyBorder="1" applyAlignment="1">
      <alignment horizontal="right"/>
    </xf>
    <xf numFmtId="0" fontId="6" fillId="0" borderId="0" xfId="13" applyBorder="1" applyAlignment="1"/>
    <xf numFmtId="0" fontId="37" fillId="0" borderId="0" xfId="0" applyFont="1" applyBorder="1"/>
    <xf numFmtId="0" fontId="23" fillId="0" borderId="12" xfId="13" applyFont="1" applyFill="1" applyBorder="1" applyAlignment="1">
      <alignment horizontal="right"/>
    </xf>
    <xf numFmtId="0" fontId="23" fillId="0" borderId="12" xfId="13" applyFont="1" applyFill="1" applyBorder="1" applyAlignment="1"/>
    <xf numFmtId="170" fontId="23" fillId="0" borderId="12" xfId="13" applyNumberFormat="1" applyFont="1" applyFill="1" applyBorder="1" applyAlignment="1">
      <alignment horizontal="right"/>
    </xf>
    <xf numFmtId="0" fontId="0" fillId="0" borderId="35" xfId="0" applyBorder="1"/>
    <xf numFmtId="0" fontId="23" fillId="0" borderId="36" xfId="13" applyFont="1" applyFill="1" applyBorder="1" applyAlignment="1">
      <alignment horizontal="right"/>
    </xf>
    <xf numFmtId="0" fontId="23" fillId="0" borderId="36" xfId="13" applyFont="1" applyFill="1" applyBorder="1" applyAlignment="1"/>
    <xf numFmtId="170" fontId="23" fillId="0" borderId="36" xfId="13" applyNumberFormat="1" applyFont="1" applyFill="1" applyBorder="1" applyAlignment="1">
      <alignment horizontal="right"/>
    </xf>
    <xf numFmtId="0" fontId="6" fillId="0" borderId="35" xfId="13" applyBorder="1" applyAlignment="1"/>
    <xf numFmtId="0" fontId="37" fillId="0" borderId="35" xfId="0" applyFont="1" applyBorder="1"/>
    <xf numFmtId="0" fontId="44" fillId="0" borderId="37" xfId="13" applyFont="1" applyFill="1" applyBorder="1" applyAlignment="1">
      <alignment horizontal="right"/>
    </xf>
    <xf numFmtId="0" fontId="44" fillId="0" borderId="37" xfId="13" applyFont="1" applyFill="1" applyBorder="1" applyAlignment="1"/>
    <xf numFmtId="170" fontId="44" fillId="0" borderId="37" xfId="13" applyNumberFormat="1" applyFont="1" applyFill="1" applyBorder="1" applyAlignment="1">
      <alignment horizontal="right"/>
    </xf>
    <xf numFmtId="0" fontId="38" fillId="0" borderId="0" xfId="13" applyFont="1" applyBorder="1" applyAlignment="1"/>
    <xf numFmtId="170" fontId="44" fillId="5" borderId="37" xfId="13" applyNumberFormat="1" applyFont="1" applyFill="1" applyBorder="1" applyAlignment="1">
      <alignment horizontal="right"/>
    </xf>
    <xf numFmtId="0" fontId="23" fillId="0" borderId="37" xfId="13" applyFont="1" applyFill="1" applyBorder="1" applyAlignment="1">
      <alignment horizontal="right"/>
    </xf>
    <xf numFmtId="0" fontId="23" fillId="0" borderId="37" xfId="13" applyFont="1" applyFill="1" applyBorder="1" applyAlignment="1"/>
    <xf numFmtId="170" fontId="23" fillId="0" borderId="37" xfId="13" applyNumberFormat="1" applyFont="1" applyFill="1" applyBorder="1" applyAlignment="1">
      <alignment horizontal="right"/>
    </xf>
    <xf numFmtId="178" fontId="44" fillId="0" borderId="37" xfId="13" applyNumberFormat="1" applyFont="1" applyFill="1" applyBorder="1" applyAlignment="1">
      <alignment horizontal="right"/>
    </xf>
    <xf numFmtId="2" fontId="44" fillId="0" borderId="37" xfId="13" applyNumberFormat="1" applyFont="1" applyFill="1" applyBorder="1" applyAlignment="1">
      <alignment horizontal="right"/>
    </xf>
    <xf numFmtId="0" fontId="37" fillId="5" borderId="0" xfId="0" applyFont="1" applyFill="1" applyBorder="1"/>
    <xf numFmtId="0" fontId="37" fillId="0" borderId="0" xfId="0" applyFont="1"/>
    <xf numFmtId="170" fontId="44" fillId="0" borderId="34" xfId="13" applyNumberFormat="1" applyFont="1" applyFill="1" applyBorder="1" applyAlignment="1">
      <alignment horizontal="right"/>
    </xf>
    <xf numFmtId="170" fontId="44" fillId="5" borderId="34" xfId="13" applyNumberFormat="1" applyFont="1" applyFill="1" applyBorder="1" applyAlignment="1">
      <alignment horizontal="right"/>
    </xf>
    <xf numFmtId="170" fontId="44" fillId="0" borderId="38" xfId="13" applyNumberFormat="1" applyFont="1" applyFill="1" applyBorder="1" applyAlignment="1">
      <alignment horizontal="right"/>
    </xf>
    <xf numFmtId="170" fontId="44" fillId="5" borderId="38" xfId="13" applyNumberFormat="1" applyFont="1" applyFill="1" applyBorder="1" applyAlignment="1">
      <alignment horizontal="right"/>
    </xf>
    <xf numFmtId="166" fontId="37" fillId="0" borderId="0" xfId="0" applyNumberFormat="1" applyFont="1"/>
    <xf numFmtId="170" fontId="44" fillId="0" borderId="0" xfId="13" applyNumberFormat="1" applyFont="1" applyFill="1" applyBorder="1" applyAlignment="1">
      <alignment horizontal="right"/>
    </xf>
    <xf numFmtId="170" fontId="44" fillId="5" borderId="0" xfId="13" applyNumberFormat="1" applyFont="1" applyFill="1" applyBorder="1" applyAlignment="1">
      <alignment horizontal="right"/>
    </xf>
    <xf numFmtId="0" fontId="2" fillId="2" borderId="0" xfId="1" applyAlignment="1">
      <alignment horizontal="center"/>
    </xf>
    <xf numFmtId="11" fontId="20" fillId="13" borderId="0" xfId="7" applyNumberFormat="1"/>
    <xf numFmtId="11" fontId="21" fillId="14" borderId="0" xfId="8" applyNumberFormat="1"/>
    <xf numFmtId="11" fontId="3" fillId="0" borderId="5" xfId="2" applyNumberFormat="1" applyBorder="1" applyAlignment="1">
      <alignment horizontal="center"/>
    </xf>
    <xf numFmtId="11" fontId="3" fillId="0" borderId="6" xfId="2" applyNumberFormat="1" applyBorder="1" applyAlignment="1">
      <alignment horizontal="center"/>
    </xf>
    <xf numFmtId="168" fontId="0" fillId="0" borderId="24" xfId="0" applyNumberFormat="1" applyFill="1" applyBorder="1"/>
    <xf numFmtId="11" fontId="0" fillId="0" borderId="24" xfId="0" applyNumberFormat="1" applyFill="1" applyBorder="1"/>
    <xf numFmtId="11" fontId="0" fillId="0" borderId="0" xfId="0" applyNumberFormat="1" applyFill="1"/>
    <xf numFmtId="11" fontId="27" fillId="0" borderId="0" xfId="0" applyNumberFormat="1" applyFont="1" applyFill="1"/>
    <xf numFmtId="11" fontId="27" fillId="0" borderId="24" xfId="0" applyNumberFormat="1" applyFont="1" applyFill="1" applyBorder="1"/>
    <xf numFmtId="0" fontId="3" fillId="3" borderId="1" xfId="2" applyFill="1" applyBorder="1" applyAlignment="1">
      <alignment horizontal="center" vertical="center"/>
    </xf>
    <xf numFmtId="0" fontId="3" fillId="3" borderId="3" xfId="2" applyFill="1" applyBorder="1" applyAlignment="1">
      <alignment horizontal="center"/>
    </xf>
    <xf numFmtId="0" fontId="3" fillId="0" borderId="0" xfId="2" applyFont="1" applyFill="1" applyBorder="1" applyAlignment="1">
      <alignment wrapText="1"/>
    </xf>
    <xf numFmtId="0" fontId="3" fillId="0" borderId="5" xfId="2" applyBorder="1" applyAlignment="1">
      <alignment horizontal="center"/>
    </xf>
    <xf numFmtId="11" fontId="3" fillId="0" borderId="5" xfId="2" applyNumberFormat="1" applyBorder="1"/>
    <xf numFmtId="0" fontId="3" fillId="0" borderId="0" xfId="2" applyBorder="1" applyAlignment="1">
      <alignment wrapText="1"/>
    </xf>
    <xf numFmtId="0" fontId="3" fillId="0" borderId="6" xfId="2" applyBorder="1" applyAlignment="1">
      <alignment horizontal="center"/>
    </xf>
    <xf numFmtId="11" fontId="3" fillId="0" borderId="7" xfId="2" applyNumberFormat="1" applyBorder="1"/>
    <xf numFmtId="164" fontId="3" fillId="0" borderId="6" xfId="2" applyNumberFormat="1" applyBorder="1" applyAlignment="1">
      <alignment horizontal="center"/>
    </xf>
    <xf numFmtId="2" fontId="3" fillId="0" borderId="6" xfId="2" applyNumberFormat="1" applyBorder="1" applyAlignment="1">
      <alignment horizontal="center"/>
    </xf>
    <xf numFmtId="0" fontId="3" fillId="0" borderId="7" xfId="2" applyBorder="1"/>
    <xf numFmtId="2" fontId="3" fillId="0" borderId="7" xfId="2" applyNumberFormat="1" applyBorder="1"/>
    <xf numFmtId="0" fontId="3" fillId="0" borderId="6" xfId="2" applyFill="1" applyBorder="1" applyAlignment="1">
      <alignment horizontal="center"/>
    </xf>
    <xf numFmtId="0" fontId="3" fillId="0" borderId="8" xfId="2" applyFill="1" applyBorder="1" applyAlignment="1">
      <alignment horizontal="center"/>
    </xf>
    <xf numFmtId="2" fontId="3" fillId="0" borderId="8" xfId="2" applyNumberFormat="1" applyFill="1" applyBorder="1"/>
    <xf numFmtId="2" fontId="3" fillId="0" borderId="8" xfId="2" applyNumberFormat="1" applyBorder="1"/>
    <xf numFmtId="2" fontId="3" fillId="0" borderId="9" xfId="2" applyNumberFormat="1" applyBorder="1"/>
    <xf numFmtId="2" fontId="3" fillId="0" borderId="0" xfId="2" applyNumberFormat="1" applyFont="1" applyFill="1" applyBorder="1"/>
    <xf numFmtId="2" fontId="3" fillId="0" borderId="0" xfId="2" applyNumberFormat="1" applyFont="1" applyBorder="1"/>
    <xf numFmtId="0" fontId="3" fillId="0" borderId="0" xfId="2" applyFont="1"/>
    <xf numFmtId="0" fontId="3" fillId="0" borderId="0" xfId="2" applyFont="1" applyFill="1" applyBorder="1"/>
    <xf numFmtId="0" fontId="3" fillId="5" borderId="4" xfId="2" applyFont="1" applyFill="1" applyBorder="1"/>
    <xf numFmtId="2" fontId="3" fillId="5" borderId="4" xfId="2" applyNumberFormat="1" applyFont="1" applyFill="1" applyBorder="1"/>
    <xf numFmtId="2" fontId="3" fillId="0" borderId="4" xfId="2" applyNumberFormat="1" applyFont="1" applyFill="1" applyBorder="1" applyAlignment="1">
      <alignment horizontal="right"/>
    </xf>
    <xf numFmtId="2" fontId="1" fillId="0" borderId="0" xfId="2" applyNumberFormat="1" applyFont="1" applyFill="1" applyBorder="1"/>
    <xf numFmtId="2" fontId="3" fillId="0" borderId="0" xfId="2" applyNumberFormat="1" applyFont="1" applyFill="1" applyBorder="1" applyAlignment="1">
      <alignment horizontal="right"/>
    </xf>
    <xf numFmtId="165" fontId="3" fillId="22" borderId="0" xfId="2" applyNumberFormat="1" applyFill="1"/>
    <xf numFmtId="0" fontId="3" fillId="23" borderId="1" xfId="3" applyFill="1" applyBorder="1"/>
    <xf numFmtId="0" fontId="3" fillId="0" borderId="0" xfId="3" applyFill="1"/>
    <xf numFmtId="0" fontId="3" fillId="23" borderId="3" xfId="3" applyFill="1" applyBorder="1" applyAlignment="1">
      <alignment horizontal="center"/>
    </xf>
    <xf numFmtId="0" fontId="3" fillId="23" borderId="4" xfId="2" applyFont="1" applyFill="1" applyBorder="1" applyAlignment="1">
      <alignment horizontal="center" wrapText="1"/>
    </xf>
    <xf numFmtId="0" fontId="3" fillId="23" borderId="4" xfId="2" applyFill="1" applyBorder="1" applyAlignment="1">
      <alignment wrapText="1"/>
    </xf>
    <xf numFmtId="0" fontId="4" fillId="23" borderId="4" xfId="3" applyFont="1" applyFill="1" applyBorder="1"/>
    <xf numFmtId="0" fontId="3" fillId="0" borderId="0" xfId="3" applyFont="1" applyFill="1" applyBorder="1" applyAlignment="1">
      <alignment wrapText="1"/>
    </xf>
    <xf numFmtId="11" fontId="3" fillId="0" borderId="4" xfId="2" applyNumberFormat="1" applyBorder="1" applyAlignment="1">
      <alignment horizontal="right"/>
    </xf>
    <xf numFmtId="11" fontId="3" fillId="0" borderId="4" xfId="2" applyNumberFormat="1" applyFill="1" applyBorder="1"/>
    <xf numFmtId="0" fontId="3" fillId="0" borderId="4" xfId="2" applyFill="1" applyBorder="1"/>
    <xf numFmtId="0" fontId="3" fillId="0" borderId="4" xfId="2" applyFill="1" applyBorder="1" applyAlignment="1">
      <alignment wrapText="1"/>
    </xf>
    <xf numFmtId="0" fontId="3" fillId="0" borderId="4" xfId="3" applyFill="1" applyBorder="1"/>
    <xf numFmtId="0" fontId="3" fillId="0" borderId="0" xfId="3"/>
    <xf numFmtId="0" fontId="3" fillId="0" borderId="0" xfId="3" applyAlignment="1">
      <alignment wrapText="1"/>
    </xf>
    <xf numFmtId="2" fontId="3" fillId="0" borderId="4" xfId="2" applyNumberFormat="1" applyBorder="1"/>
    <xf numFmtId="2" fontId="3" fillId="0" borderId="4" xfId="3" applyNumberFormat="1" applyFill="1" applyBorder="1"/>
    <xf numFmtId="164" fontId="3" fillId="0" borderId="39" xfId="2" applyNumberFormat="1" applyBorder="1"/>
    <xf numFmtId="2" fontId="3" fillId="0" borderId="39" xfId="2" applyNumberFormat="1" applyBorder="1"/>
    <xf numFmtId="2" fontId="3" fillId="0" borderId="39" xfId="3" applyNumberFormat="1" applyFill="1" applyBorder="1"/>
    <xf numFmtId="0" fontId="3" fillId="0" borderId="40" xfId="3" applyFill="1" applyBorder="1"/>
    <xf numFmtId="0" fontId="3" fillId="0" borderId="7" xfId="3" applyFill="1" applyBorder="1"/>
    <xf numFmtId="2" fontId="3" fillId="0" borderId="6" xfId="3" applyNumberFormat="1" applyFont="1" applyFill="1" applyBorder="1"/>
    <xf numFmtId="2" fontId="3" fillId="0" borderId="0" xfId="3" applyNumberFormat="1" applyFont="1" applyFill="1" applyBorder="1"/>
    <xf numFmtId="2" fontId="3" fillId="0" borderId="0" xfId="3" applyNumberFormat="1" applyFont="1" applyBorder="1"/>
    <xf numFmtId="0" fontId="3" fillId="0" borderId="0" xfId="3" applyFont="1"/>
    <xf numFmtId="0" fontId="3" fillId="0" borderId="0" xfId="3" applyFont="1" applyFill="1" applyBorder="1"/>
    <xf numFmtId="2" fontId="1" fillId="0" borderId="0" xfId="3" applyNumberFormat="1" applyFont="1" applyFill="1" applyBorder="1"/>
    <xf numFmtId="2" fontId="3" fillId="0" borderId="0" xfId="3" applyNumberFormat="1" applyFont="1" applyFill="1" applyBorder="1" applyAlignment="1">
      <alignment horizontal="right"/>
    </xf>
    <xf numFmtId="0" fontId="3" fillId="4" borderId="0" xfId="4" applyFont="1" applyFill="1" applyAlignment="1">
      <alignment wrapText="1"/>
    </xf>
    <xf numFmtId="0" fontId="3" fillId="4" borderId="0" xfId="4" applyFont="1" applyFill="1" applyAlignment="1">
      <alignment horizontal="center"/>
    </xf>
    <xf numFmtId="0" fontId="3" fillId="4" borderId="4" xfId="2" applyFont="1" applyFill="1" applyBorder="1"/>
    <xf numFmtId="0" fontId="3" fillId="4" borderId="4" xfId="2" applyFill="1" applyBorder="1"/>
    <xf numFmtId="2" fontId="3" fillId="4" borderId="4" xfId="3" applyNumberFormat="1" applyFill="1" applyBorder="1"/>
    <xf numFmtId="0" fontId="4" fillId="4" borderId="4" xfId="3" applyFont="1" applyFill="1" applyBorder="1"/>
    <xf numFmtId="0" fontId="6" fillId="0" borderId="41" xfId="15" applyFont="1" applyFill="1" applyBorder="1" applyAlignment="1">
      <alignment horizontal="center"/>
    </xf>
    <xf numFmtId="0" fontId="1" fillId="0" borderId="42" xfId="4" applyFont="1" applyBorder="1"/>
    <xf numFmtId="0" fontId="45" fillId="0" borderId="0" xfId="4" applyFont="1"/>
    <xf numFmtId="179" fontId="1" fillId="0" borderId="0" xfId="4" applyNumberFormat="1"/>
    <xf numFmtId="0" fontId="5" fillId="0" borderId="0" xfId="4" applyFont="1"/>
    <xf numFmtId="0" fontId="1" fillId="0" borderId="0" xfId="4" applyFont="1"/>
    <xf numFmtId="0" fontId="1" fillId="12" borderId="0" xfId="4" applyFill="1"/>
    <xf numFmtId="0" fontId="1" fillId="11" borderId="0" xfId="4" applyFill="1"/>
    <xf numFmtId="0" fontId="1" fillId="0" borderId="0" xfId="4" applyBorder="1"/>
    <xf numFmtId="11" fontId="1" fillId="22" borderId="0" xfId="4" applyNumberFormat="1" applyFill="1"/>
    <xf numFmtId="0" fontId="3" fillId="0" borderId="0" xfId="3" applyFont="1" applyFill="1"/>
    <xf numFmtId="165" fontId="3" fillId="0" borderId="0" xfId="3" applyNumberFormat="1" applyFill="1"/>
    <xf numFmtId="11" fontId="48" fillId="0" borderId="0" xfId="2" applyNumberFormat="1" applyFont="1" applyFill="1"/>
    <xf numFmtId="0" fontId="22" fillId="0" borderId="0" xfId="0" applyFont="1" applyFill="1" applyBorder="1"/>
    <xf numFmtId="0" fontId="27" fillId="0" borderId="22" xfId="0" applyFont="1" applyFill="1" applyBorder="1" applyAlignment="1">
      <alignment horizontal="center" wrapText="1"/>
    </xf>
    <xf numFmtId="0" fontId="39" fillId="0" borderId="0" xfId="0" quotePrefix="1" applyFont="1" applyFill="1" applyBorder="1" applyAlignment="1">
      <alignment horizontal="right"/>
    </xf>
    <xf numFmtId="9" fontId="27" fillId="0" borderId="0" xfId="0" quotePrefix="1" applyNumberFormat="1" applyFont="1" applyFill="1" applyBorder="1" applyAlignment="1">
      <alignment horizontal="center"/>
    </xf>
    <xf numFmtId="168" fontId="27" fillId="0" borderId="0" xfId="0" applyNumberFormat="1" applyFont="1" applyFill="1" applyBorder="1" applyAlignment="1">
      <alignment horizontal="center"/>
    </xf>
    <xf numFmtId="0" fontId="26" fillId="0" borderId="22" xfId="13" applyFont="1" applyFill="1" applyBorder="1"/>
    <xf numFmtId="11" fontId="27" fillId="0" borderId="0" xfId="0" applyNumberFormat="1" applyFont="1" applyFill="1" applyBorder="1"/>
    <xf numFmtId="0" fontId="27" fillId="0" borderId="0" xfId="0" applyFont="1" applyFill="1" applyBorder="1" applyAlignment="1">
      <alignment wrapText="1"/>
    </xf>
    <xf numFmtId="0" fontId="39" fillId="0" borderId="0" xfId="0" applyFont="1" applyFill="1" applyBorder="1" applyAlignment="1">
      <alignment horizontal="right" wrapText="1"/>
    </xf>
    <xf numFmtId="0" fontId="27" fillId="0" borderId="0" xfId="0" applyFont="1" applyFill="1" applyBorder="1" applyAlignment="1">
      <alignment horizontal="center" wrapText="1"/>
    </xf>
    <xf numFmtId="165" fontId="27" fillId="0" borderId="0" xfId="0" applyNumberFormat="1" applyFont="1" applyFill="1" applyBorder="1" applyAlignment="1">
      <alignment horizontal="center" wrapText="1"/>
    </xf>
    <xf numFmtId="0" fontId="27" fillId="0" borderId="2" xfId="0" applyFont="1" applyFill="1" applyBorder="1" applyAlignment="1">
      <alignment horizontal="center" wrapText="1"/>
    </xf>
    <xf numFmtId="11" fontId="27" fillId="0" borderId="0" xfId="0" applyNumberFormat="1" applyFont="1" applyFill="1" applyBorder="1" applyAlignment="1">
      <alignment horizontal="center" wrapText="1"/>
    </xf>
    <xf numFmtId="11" fontId="27" fillId="0" borderId="0" xfId="0" applyNumberFormat="1" applyFont="1" applyFill="1" applyBorder="1" applyAlignment="1">
      <alignment wrapText="1"/>
    </xf>
    <xf numFmtId="11" fontId="26" fillId="0" borderId="0" xfId="13" applyNumberFormat="1" applyFont="1" applyFill="1" applyBorder="1" applyAlignment="1">
      <alignment wrapText="1"/>
    </xf>
    <xf numFmtId="10" fontId="27" fillId="0" borderId="22" xfId="0" applyNumberFormat="1" applyFont="1" applyFill="1" applyBorder="1" applyAlignment="1">
      <alignment wrapText="1"/>
    </xf>
    <xf numFmtId="172" fontId="27" fillId="0" borderId="0" xfId="0" applyNumberFormat="1" applyFont="1"/>
    <xf numFmtId="0" fontId="27" fillId="0" borderId="24" xfId="0" applyFont="1" applyFill="1" applyBorder="1"/>
    <xf numFmtId="11" fontId="27" fillId="16" borderId="24" xfId="0" applyNumberFormat="1" applyFont="1" applyFill="1" applyBorder="1"/>
    <xf numFmtId="172" fontId="27" fillId="0" borderId="24" xfId="0" applyNumberFormat="1" applyFont="1" applyFill="1" applyBorder="1"/>
    <xf numFmtId="0" fontId="27" fillId="0" borderId="0" xfId="0" applyFont="1" applyFill="1" applyAlignment="1">
      <alignment wrapText="1"/>
    </xf>
    <xf numFmtId="11" fontId="27" fillId="0" borderId="0" xfId="0" applyNumberFormat="1" applyFont="1" applyFill="1" applyAlignment="1">
      <alignment wrapText="1"/>
    </xf>
    <xf numFmtId="0" fontId="0" fillId="6" borderId="0" xfId="0" applyFill="1" applyAlignment="1">
      <alignment horizontal="left"/>
    </xf>
    <xf numFmtId="0" fontId="0" fillId="5" borderId="0" xfId="0" applyFill="1" applyAlignment="1">
      <alignment horizontal="left"/>
    </xf>
    <xf numFmtId="0" fontId="3" fillId="4" borderId="2" xfId="3" applyFont="1" applyFill="1" applyBorder="1" applyAlignment="1">
      <alignment horizontal="center" wrapText="1"/>
    </xf>
    <xf numFmtId="0" fontId="3" fillId="4" borderId="0" xfId="3" applyFill="1" applyBorder="1" applyAlignment="1">
      <alignment horizontal="center" wrapText="1"/>
    </xf>
    <xf numFmtId="0" fontId="3" fillId="4" borderId="0" xfId="3" applyFill="1" applyBorder="1" applyAlignment="1">
      <alignment wrapText="1"/>
    </xf>
    <xf numFmtId="0" fontId="3" fillId="4" borderId="0" xfId="3" applyFill="1" applyAlignment="1">
      <alignment wrapText="1"/>
    </xf>
    <xf numFmtId="0" fontId="8" fillId="6" borderId="0" xfId="1" applyFont="1" applyFill="1" applyAlignment="1">
      <alignment horizontal="center"/>
    </xf>
    <xf numFmtId="0" fontId="3" fillId="7" borderId="0" xfId="2" applyFill="1" applyAlignment="1">
      <alignment horizontal="left"/>
    </xf>
    <xf numFmtId="0" fontId="3" fillId="8" borderId="0" xfId="2" applyFill="1" applyAlignment="1">
      <alignment horizontal="left"/>
    </xf>
    <xf numFmtId="0" fontId="22" fillId="17" borderId="16" xfId="0" applyFont="1" applyFill="1" applyBorder="1" applyAlignment="1">
      <alignment horizontal="center"/>
    </xf>
    <xf numFmtId="0" fontId="0" fillId="17" borderId="16" xfId="0" applyFill="1" applyBorder="1"/>
    <xf numFmtId="0" fontId="0" fillId="17" borderId="15" xfId="0" applyFill="1" applyBorder="1"/>
    <xf numFmtId="0" fontId="22" fillId="17" borderId="13" xfId="0" applyFont="1" applyFill="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177" fontId="0" fillId="19" borderId="27" xfId="0" applyNumberFormat="1" applyFill="1" applyBorder="1" applyAlignment="1">
      <alignment horizontal="left" vertical="center"/>
    </xf>
    <xf numFmtId="177" fontId="0" fillId="19" borderId="26" xfId="0" applyNumberFormat="1" applyFill="1" applyBorder="1" applyAlignment="1">
      <alignment horizontal="left" vertical="center"/>
    </xf>
    <xf numFmtId="0" fontId="22" fillId="17" borderId="14" xfId="0" applyFont="1" applyFill="1" applyBorder="1" applyAlignment="1">
      <alignment horizontal="center"/>
    </xf>
    <xf numFmtId="0" fontId="22" fillId="17" borderId="15" xfId="0" applyFont="1" applyFill="1" applyBorder="1" applyAlignment="1">
      <alignment horizontal="center"/>
    </xf>
    <xf numFmtId="0" fontId="0" fillId="0" borderId="0" xfId="0" applyAlignment="1">
      <alignment horizontal="left" vertical="top" wrapText="1"/>
    </xf>
    <xf numFmtId="0" fontId="0" fillId="19" borderId="13" xfId="0" applyFill="1" applyBorder="1" applyAlignment="1">
      <alignment horizontal="left" vertical="top" wrapText="1"/>
    </xf>
    <xf numFmtId="0" fontId="0" fillId="19" borderId="15" xfId="0" applyFill="1" applyBorder="1" applyAlignment="1">
      <alignment horizontal="left" vertical="top" wrapText="1"/>
    </xf>
    <xf numFmtId="0" fontId="0" fillId="19" borderId="27" xfId="0" applyFill="1" applyBorder="1" applyAlignment="1">
      <alignment horizontal="left" vertical="top" wrapText="1"/>
    </xf>
    <xf numFmtId="0" fontId="0" fillId="19" borderId="26" xfId="0" applyFill="1" applyBorder="1" applyAlignment="1">
      <alignment horizontal="left" vertical="top" wrapText="1"/>
    </xf>
    <xf numFmtId="0" fontId="0" fillId="8" borderId="0" xfId="0" applyFill="1" applyAlignment="1">
      <alignment horizontal="left"/>
    </xf>
    <xf numFmtId="0" fontId="0" fillId="9" borderId="0" xfId="0" applyFill="1" applyAlignment="1">
      <alignment horizontal="left"/>
    </xf>
    <xf numFmtId="0" fontId="3" fillId="4" borderId="2" xfId="2" applyFill="1" applyBorder="1" applyAlignment="1">
      <alignment horizontal="center" wrapText="1"/>
    </xf>
    <xf numFmtId="0" fontId="3" fillId="4" borderId="0" xfId="2" applyFill="1" applyBorder="1" applyAlignment="1">
      <alignment horizontal="center" wrapText="1"/>
    </xf>
    <xf numFmtId="0" fontId="3" fillId="4" borderId="0" xfId="2" applyFill="1" applyBorder="1" applyAlignment="1">
      <alignment wrapText="1"/>
    </xf>
    <xf numFmtId="0" fontId="3" fillId="4" borderId="0" xfId="2" applyFill="1" applyAlignment="1">
      <alignment wrapText="1"/>
    </xf>
    <xf numFmtId="0" fontId="2" fillId="2" borderId="0" xfId="1" applyBorder="1" applyAlignment="1">
      <alignment wrapText="1"/>
    </xf>
    <xf numFmtId="0" fontId="2" fillId="2" borderId="0" xfId="1" applyAlignment="1">
      <alignment wrapText="1"/>
    </xf>
    <xf numFmtId="0" fontId="1" fillId="0" borderId="0" xfId="4" applyAlignment="1"/>
    <xf numFmtId="0" fontId="3" fillId="23" borderId="4" xfId="3" applyFont="1" applyFill="1" applyBorder="1" applyAlignment="1">
      <alignment horizontal="center" wrapText="1"/>
    </xf>
    <xf numFmtId="0" fontId="3" fillId="23" borderId="4" xfId="3" applyFill="1" applyBorder="1" applyAlignment="1">
      <alignment horizontal="center" wrapText="1"/>
    </xf>
    <xf numFmtId="0" fontId="3" fillId="23" borderId="4" xfId="3" applyFill="1" applyBorder="1" applyAlignment="1">
      <alignment wrapText="1"/>
    </xf>
    <xf numFmtId="0" fontId="5" fillId="4" borderId="4" xfId="4" applyFont="1" applyFill="1" applyBorder="1" applyAlignment="1">
      <alignment horizontal="center" vertical="center"/>
    </xf>
    <xf numFmtId="0" fontId="3" fillId="0" borderId="0" xfId="4" applyFont="1" applyFill="1" applyBorder="1" applyAlignment="1">
      <alignment wrapText="1"/>
    </xf>
    <xf numFmtId="0" fontId="46" fillId="0" borderId="0" xfId="4" applyFont="1" applyAlignment="1">
      <alignment wrapText="1"/>
    </xf>
    <xf numFmtId="0" fontId="1" fillId="0" borderId="0" xfId="4" applyAlignment="1">
      <alignment wrapText="1"/>
    </xf>
    <xf numFmtId="0" fontId="1" fillId="0" borderId="0" xfId="4" applyFont="1" applyAlignment="1"/>
    <xf numFmtId="0" fontId="1" fillId="0" borderId="0" xfId="4" applyFont="1" applyAlignment="1">
      <alignment wrapText="1"/>
    </xf>
  </cellXfs>
  <cellStyles count="16">
    <cellStyle name="Bad" xfId="7" builtinId="27"/>
    <cellStyle name="Comma" xfId="6" builtinId="3"/>
    <cellStyle name="Good" xfId="1" builtinId="26"/>
    <cellStyle name="Neutral" xfId="8" builtinId="28"/>
    <cellStyle name="Normal" xfId="0" builtinId="0"/>
    <cellStyle name="Normal 2" xfId="2"/>
    <cellStyle name="Normal 2 2" xfId="3"/>
    <cellStyle name="Normal 2 3" xfId="5"/>
    <cellStyle name="Normal 3" xfId="4"/>
    <cellStyle name="Normal_fPM_min" xfId="12"/>
    <cellStyle name="Normal_fPM_Variability" xfId="11"/>
    <cellStyle name="Normal_ProcGas PM Test Runs" xfId="15"/>
    <cellStyle name="Normal_Sheet1" xfId="9"/>
    <cellStyle name="Normal_Sheet2" xfId="10"/>
    <cellStyle name="Normal_Sheet2_1" xfId="13"/>
    <cellStyle name="Normal_TOOL_tblISOemissions"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4.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w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s>
</file>

<file path=xl/drawings/_rels/vmlDrawing1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w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13.vml.rels><?xml version="1.0" encoding="UTF-8" standalone="yes"?>
<Relationships xmlns="http://schemas.openxmlformats.org/package/2006/relationships"><Relationship Id="rId8" Type="http://schemas.openxmlformats.org/officeDocument/2006/relationships/image" Target="../media/image53.emf"/><Relationship Id="rId13" Type="http://schemas.openxmlformats.org/officeDocument/2006/relationships/image" Target="../media/image58.emf"/><Relationship Id="rId3" Type="http://schemas.openxmlformats.org/officeDocument/2006/relationships/image" Target="../media/image48.emf"/><Relationship Id="rId7" Type="http://schemas.openxmlformats.org/officeDocument/2006/relationships/image" Target="../media/image52.emf"/><Relationship Id="rId12" Type="http://schemas.openxmlformats.org/officeDocument/2006/relationships/image" Target="../media/image57.emf"/><Relationship Id="rId2" Type="http://schemas.openxmlformats.org/officeDocument/2006/relationships/image" Target="../media/image47.emf"/><Relationship Id="rId1" Type="http://schemas.openxmlformats.org/officeDocument/2006/relationships/image" Target="../media/image46.emf"/><Relationship Id="rId6" Type="http://schemas.openxmlformats.org/officeDocument/2006/relationships/image" Target="../media/image51.emf"/><Relationship Id="rId11" Type="http://schemas.openxmlformats.org/officeDocument/2006/relationships/image" Target="../media/image56.emf"/><Relationship Id="rId5" Type="http://schemas.openxmlformats.org/officeDocument/2006/relationships/image" Target="../media/image50.emf"/><Relationship Id="rId10" Type="http://schemas.openxmlformats.org/officeDocument/2006/relationships/image" Target="../media/image55.emf"/><Relationship Id="rId4" Type="http://schemas.openxmlformats.org/officeDocument/2006/relationships/image" Target="../media/image49.emf"/><Relationship Id="rId9" Type="http://schemas.openxmlformats.org/officeDocument/2006/relationships/image" Target="../media/image54.emf"/><Relationship Id="rId14" Type="http://schemas.openxmlformats.org/officeDocument/2006/relationships/image" Target="../media/image59.w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w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107</xdr:row>
      <xdr:rowOff>142875</xdr:rowOff>
    </xdr:from>
    <xdr:to>
      <xdr:col>1</xdr:col>
      <xdr:colOff>1019175</xdr:colOff>
      <xdr:row>110</xdr:row>
      <xdr:rowOff>171450</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1133475" y="20831175"/>
          <a:ext cx="847725" cy="600075"/>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107</xdr:row>
      <xdr:rowOff>142875</xdr:rowOff>
    </xdr:from>
    <xdr:to>
      <xdr:col>1</xdr:col>
      <xdr:colOff>1019175</xdr:colOff>
      <xdr:row>110</xdr:row>
      <xdr:rowOff>171450</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1133475" y="20526375"/>
          <a:ext cx="847725" cy="600075"/>
        </a:xfrm>
        <a:prstGeom prst="rect">
          <a:avLst/>
        </a:prstGeom>
        <a:solidFill>
          <a:srgbClr val="FFFFFF"/>
        </a:solidFill>
        <a:ln w="952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485775</xdr:colOff>
      <xdr:row>7</xdr:row>
      <xdr:rowOff>123825</xdr:rowOff>
    </xdr:from>
    <xdr:to>
      <xdr:col>2</xdr:col>
      <xdr:colOff>704850</xdr:colOff>
      <xdr:row>9</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1457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1</xdr:row>
      <xdr:rowOff>19050</xdr:rowOff>
    </xdr:from>
    <xdr:to>
      <xdr:col>16</xdr:col>
      <xdr:colOff>428625</xdr:colOff>
      <xdr:row>6</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209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18</xdr:row>
      <xdr:rowOff>57150</xdr:rowOff>
    </xdr:from>
    <xdr:to>
      <xdr:col>3</xdr:col>
      <xdr:colOff>552450</xdr:colOff>
      <xdr:row>20</xdr:row>
      <xdr:rowOff>104775</xdr:rowOff>
    </xdr:to>
    <xdr:pic>
      <xdr:nvPicPr>
        <xdr:cNvPr id="4" name="Picture 18"/>
        <xdr:cNvPicPr>
          <a:picLocks noChangeAspect="1" noChangeArrowheads="1"/>
        </xdr:cNvPicPr>
      </xdr:nvPicPr>
      <xdr:blipFill>
        <a:blip xmlns:r="http://schemas.openxmlformats.org/officeDocument/2006/relationships" r:embed="rId3" cstate="print"/>
        <a:srcRect/>
        <a:stretch>
          <a:fillRect/>
        </a:stretch>
      </xdr:blipFill>
      <xdr:spPr bwMode="auto">
        <a:xfrm>
          <a:off x="1724025" y="3486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3" Type="http://schemas.openxmlformats.org/officeDocument/2006/relationships/oleObject" Target="../embeddings/oleObject97.bin"/><Relationship Id="rId18" Type="http://schemas.openxmlformats.org/officeDocument/2006/relationships/oleObject" Target="../embeddings/oleObject102.bin"/><Relationship Id="rId26" Type="http://schemas.openxmlformats.org/officeDocument/2006/relationships/oleObject" Target="../embeddings/oleObject110.bin"/><Relationship Id="rId39" Type="http://schemas.openxmlformats.org/officeDocument/2006/relationships/oleObject" Target="../embeddings/oleObject123.bin"/><Relationship Id="rId21" Type="http://schemas.openxmlformats.org/officeDocument/2006/relationships/oleObject" Target="../embeddings/oleObject105.bin"/><Relationship Id="rId34" Type="http://schemas.openxmlformats.org/officeDocument/2006/relationships/oleObject" Target="../embeddings/oleObject118.bin"/><Relationship Id="rId42" Type="http://schemas.openxmlformats.org/officeDocument/2006/relationships/oleObject" Target="../embeddings/oleObject126.bin"/><Relationship Id="rId47" Type="http://schemas.openxmlformats.org/officeDocument/2006/relationships/oleObject" Target="../embeddings/oleObject131.bin"/><Relationship Id="rId50" Type="http://schemas.openxmlformats.org/officeDocument/2006/relationships/oleObject" Target="../embeddings/oleObject134.bin"/><Relationship Id="rId55" Type="http://schemas.openxmlformats.org/officeDocument/2006/relationships/oleObject" Target="../embeddings/oleObject139.bin"/><Relationship Id="rId63" Type="http://schemas.openxmlformats.org/officeDocument/2006/relationships/oleObject" Target="../embeddings/oleObject147.bin"/><Relationship Id="rId68" Type="http://schemas.openxmlformats.org/officeDocument/2006/relationships/oleObject" Target="../embeddings/oleObject152.bin"/><Relationship Id="rId7" Type="http://schemas.openxmlformats.org/officeDocument/2006/relationships/oleObject" Target="../embeddings/oleObject91.bin"/><Relationship Id="rId2" Type="http://schemas.openxmlformats.org/officeDocument/2006/relationships/drawing" Target="../drawings/drawing4.xml"/><Relationship Id="rId16" Type="http://schemas.openxmlformats.org/officeDocument/2006/relationships/oleObject" Target="../embeddings/oleObject100.bin"/><Relationship Id="rId29" Type="http://schemas.openxmlformats.org/officeDocument/2006/relationships/oleObject" Target="../embeddings/oleObject113.bin"/><Relationship Id="rId1" Type="http://schemas.openxmlformats.org/officeDocument/2006/relationships/printerSettings" Target="../printerSettings/printerSettings8.bin"/><Relationship Id="rId6" Type="http://schemas.openxmlformats.org/officeDocument/2006/relationships/oleObject" Target="../embeddings/oleObject90.bin"/><Relationship Id="rId11" Type="http://schemas.openxmlformats.org/officeDocument/2006/relationships/oleObject" Target="../embeddings/oleObject95.bin"/><Relationship Id="rId24" Type="http://schemas.openxmlformats.org/officeDocument/2006/relationships/oleObject" Target="../embeddings/oleObject108.bin"/><Relationship Id="rId32" Type="http://schemas.openxmlformats.org/officeDocument/2006/relationships/oleObject" Target="../embeddings/oleObject116.bin"/><Relationship Id="rId37" Type="http://schemas.openxmlformats.org/officeDocument/2006/relationships/oleObject" Target="../embeddings/oleObject121.bin"/><Relationship Id="rId40" Type="http://schemas.openxmlformats.org/officeDocument/2006/relationships/oleObject" Target="../embeddings/oleObject124.bin"/><Relationship Id="rId45" Type="http://schemas.openxmlformats.org/officeDocument/2006/relationships/oleObject" Target="../embeddings/oleObject129.bin"/><Relationship Id="rId53" Type="http://schemas.openxmlformats.org/officeDocument/2006/relationships/oleObject" Target="../embeddings/oleObject137.bin"/><Relationship Id="rId58" Type="http://schemas.openxmlformats.org/officeDocument/2006/relationships/oleObject" Target="../embeddings/oleObject142.bin"/><Relationship Id="rId66" Type="http://schemas.openxmlformats.org/officeDocument/2006/relationships/oleObject" Target="../embeddings/oleObject150.bin"/><Relationship Id="rId5" Type="http://schemas.openxmlformats.org/officeDocument/2006/relationships/oleObject" Target="../embeddings/oleObject89.bin"/><Relationship Id="rId15" Type="http://schemas.openxmlformats.org/officeDocument/2006/relationships/oleObject" Target="../embeddings/oleObject99.bin"/><Relationship Id="rId23" Type="http://schemas.openxmlformats.org/officeDocument/2006/relationships/oleObject" Target="../embeddings/oleObject107.bin"/><Relationship Id="rId28" Type="http://schemas.openxmlformats.org/officeDocument/2006/relationships/oleObject" Target="../embeddings/oleObject112.bin"/><Relationship Id="rId36" Type="http://schemas.openxmlformats.org/officeDocument/2006/relationships/oleObject" Target="../embeddings/oleObject120.bin"/><Relationship Id="rId49" Type="http://schemas.openxmlformats.org/officeDocument/2006/relationships/oleObject" Target="../embeddings/oleObject133.bin"/><Relationship Id="rId57" Type="http://schemas.openxmlformats.org/officeDocument/2006/relationships/oleObject" Target="../embeddings/oleObject141.bin"/><Relationship Id="rId61" Type="http://schemas.openxmlformats.org/officeDocument/2006/relationships/oleObject" Target="../embeddings/oleObject145.bin"/><Relationship Id="rId10" Type="http://schemas.openxmlformats.org/officeDocument/2006/relationships/oleObject" Target="../embeddings/oleObject94.bin"/><Relationship Id="rId19" Type="http://schemas.openxmlformats.org/officeDocument/2006/relationships/oleObject" Target="../embeddings/oleObject103.bin"/><Relationship Id="rId31" Type="http://schemas.openxmlformats.org/officeDocument/2006/relationships/oleObject" Target="../embeddings/oleObject115.bin"/><Relationship Id="rId44" Type="http://schemas.openxmlformats.org/officeDocument/2006/relationships/oleObject" Target="../embeddings/oleObject128.bin"/><Relationship Id="rId52" Type="http://schemas.openxmlformats.org/officeDocument/2006/relationships/oleObject" Target="../embeddings/oleObject136.bin"/><Relationship Id="rId60" Type="http://schemas.openxmlformats.org/officeDocument/2006/relationships/oleObject" Target="../embeddings/oleObject144.bin"/><Relationship Id="rId65" Type="http://schemas.openxmlformats.org/officeDocument/2006/relationships/oleObject" Target="../embeddings/oleObject149.bin"/><Relationship Id="rId4" Type="http://schemas.openxmlformats.org/officeDocument/2006/relationships/oleObject" Target="../embeddings/oleObject88.bin"/><Relationship Id="rId9" Type="http://schemas.openxmlformats.org/officeDocument/2006/relationships/oleObject" Target="../embeddings/oleObject93.bin"/><Relationship Id="rId14" Type="http://schemas.openxmlformats.org/officeDocument/2006/relationships/oleObject" Target="../embeddings/oleObject98.bin"/><Relationship Id="rId22" Type="http://schemas.openxmlformats.org/officeDocument/2006/relationships/oleObject" Target="../embeddings/oleObject106.bin"/><Relationship Id="rId27" Type="http://schemas.openxmlformats.org/officeDocument/2006/relationships/oleObject" Target="../embeddings/oleObject111.bin"/><Relationship Id="rId30" Type="http://schemas.openxmlformats.org/officeDocument/2006/relationships/oleObject" Target="../embeddings/oleObject114.bin"/><Relationship Id="rId35" Type="http://schemas.openxmlformats.org/officeDocument/2006/relationships/oleObject" Target="../embeddings/oleObject119.bin"/><Relationship Id="rId43" Type="http://schemas.openxmlformats.org/officeDocument/2006/relationships/oleObject" Target="../embeddings/oleObject127.bin"/><Relationship Id="rId48" Type="http://schemas.openxmlformats.org/officeDocument/2006/relationships/oleObject" Target="../embeddings/oleObject132.bin"/><Relationship Id="rId56" Type="http://schemas.openxmlformats.org/officeDocument/2006/relationships/oleObject" Target="../embeddings/oleObject140.bin"/><Relationship Id="rId64" Type="http://schemas.openxmlformats.org/officeDocument/2006/relationships/oleObject" Target="../embeddings/oleObject148.bin"/><Relationship Id="rId69" Type="http://schemas.openxmlformats.org/officeDocument/2006/relationships/oleObject" Target="../embeddings/oleObject153.bin"/><Relationship Id="rId8" Type="http://schemas.openxmlformats.org/officeDocument/2006/relationships/oleObject" Target="../embeddings/oleObject92.bin"/><Relationship Id="rId51" Type="http://schemas.openxmlformats.org/officeDocument/2006/relationships/oleObject" Target="../embeddings/oleObject135.bin"/><Relationship Id="rId3" Type="http://schemas.openxmlformats.org/officeDocument/2006/relationships/vmlDrawing" Target="../drawings/vmlDrawing5.vml"/><Relationship Id="rId12" Type="http://schemas.openxmlformats.org/officeDocument/2006/relationships/oleObject" Target="../embeddings/oleObject96.bin"/><Relationship Id="rId17" Type="http://schemas.openxmlformats.org/officeDocument/2006/relationships/oleObject" Target="../embeddings/oleObject101.bin"/><Relationship Id="rId25" Type="http://schemas.openxmlformats.org/officeDocument/2006/relationships/oleObject" Target="../embeddings/oleObject109.bin"/><Relationship Id="rId33" Type="http://schemas.openxmlformats.org/officeDocument/2006/relationships/oleObject" Target="../embeddings/oleObject117.bin"/><Relationship Id="rId38" Type="http://schemas.openxmlformats.org/officeDocument/2006/relationships/oleObject" Target="../embeddings/oleObject122.bin"/><Relationship Id="rId46" Type="http://schemas.openxmlformats.org/officeDocument/2006/relationships/oleObject" Target="../embeddings/oleObject130.bin"/><Relationship Id="rId59" Type="http://schemas.openxmlformats.org/officeDocument/2006/relationships/oleObject" Target="../embeddings/oleObject143.bin"/><Relationship Id="rId67" Type="http://schemas.openxmlformats.org/officeDocument/2006/relationships/oleObject" Target="../embeddings/oleObject151.bin"/><Relationship Id="rId20" Type="http://schemas.openxmlformats.org/officeDocument/2006/relationships/oleObject" Target="../embeddings/oleObject104.bin"/><Relationship Id="rId41" Type="http://schemas.openxmlformats.org/officeDocument/2006/relationships/oleObject" Target="../embeddings/oleObject125.bin"/><Relationship Id="rId54" Type="http://schemas.openxmlformats.org/officeDocument/2006/relationships/oleObject" Target="../embeddings/oleObject138.bin"/><Relationship Id="rId62" Type="http://schemas.openxmlformats.org/officeDocument/2006/relationships/oleObject" Target="../embeddings/oleObject146.bin"/></Relationships>
</file>

<file path=xl/worksheets/_rels/sheet11.xml.rels><?xml version="1.0" encoding="UTF-8" standalone="yes"?>
<Relationships xmlns="http://schemas.openxmlformats.org/package/2006/relationships"><Relationship Id="rId13" Type="http://schemas.openxmlformats.org/officeDocument/2006/relationships/oleObject" Target="../embeddings/oleObject163.bin"/><Relationship Id="rId18" Type="http://schemas.openxmlformats.org/officeDocument/2006/relationships/oleObject" Target="../embeddings/oleObject168.bin"/><Relationship Id="rId26" Type="http://schemas.openxmlformats.org/officeDocument/2006/relationships/oleObject" Target="../embeddings/oleObject176.bin"/><Relationship Id="rId39" Type="http://schemas.openxmlformats.org/officeDocument/2006/relationships/oleObject" Target="../embeddings/oleObject189.bin"/><Relationship Id="rId21" Type="http://schemas.openxmlformats.org/officeDocument/2006/relationships/oleObject" Target="../embeddings/oleObject171.bin"/><Relationship Id="rId34" Type="http://schemas.openxmlformats.org/officeDocument/2006/relationships/oleObject" Target="../embeddings/oleObject184.bin"/><Relationship Id="rId42" Type="http://schemas.openxmlformats.org/officeDocument/2006/relationships/oleObject" Target="../embeddings/oleObject192.bin"/><Relationship Id="rId47" Type="http://schemas.openxmlformats.org/officeDocument/2006/relationships/oleObject" Target="../embeddings/oleObject197.bin"/><Relationship Id="rId50" Type="http://schemas.openxmlformats.org/officeDocument/2006/relationships/oleObject" Target="../embeddings/oleObject200.bin"/><Relationship Id="rId55" Type="http://schemas.openxmlformats.org/officeDocument/2006/relationships/oleObject" Target="../embeddings/oleObject205.bin"/><Relationship Id="rId63" Type="http://schemas.openxmlformats.org/officeDocument/2006/relationships/oleObject" Target="../embeddings/oleObject213.bin"/><Relationship Id="rId68" Type="http://schemas.openxmlformats.org/officeDocument/2006/relationships/oleObject" Target="../embeddings/oleObject218.bin"/><Relationship Id="rId7" Type="http://schemas.openxmlformats.org/officeDocument/2006/relationships/oleObject" Target="../embeddings/oleObject157.bin"/><Relationship Id="rId2" Type="http://schemas.openxmlformats.org/officeDocument/2006/relationships/drawing" Target="../drawings/drawing5.xml"/><Relationship Id="rId16" Type="http://schemas.openxmlformats.org/officeDocument/2006/relationships/oleObject" Target="../embeddings/oleObject166.bin"/><Relationship Id="rId29" Type="http://schemas.openxmlformats.org/officeDocument/2006/relationships/oleObject" Target="../embeddings/oleObject179.bin"/><Relationship Id="rId1" Type="http://schemas.openxmlformats.org/officeDocument/2006/relationships/printerSettings" Target="../printerSettings/printerSettings9.bin"/><Relationship Id="rId6" Type="http://schemas.openxmlformats.org/officeDocument/2006/relationships/oleObject" Target="../embeddings/oleObject156.bin"/><Relationship Id="rId11" Type="http://schemas.openxmlformats.org/officeDocument/2006/relationships/oleObject" Target="../embeddings/oleObject161.bin"/><Relationship Id="rId24" Type="http://schemas.openxmlformats.org/officeDocument/2006/relationships/oleObject" Target="../embeddings/oleObject174.bin"/><Relationship Id="rId32" Type="http://schemas.openxmlformats.org/officeDocument/2006/relationships/oleObject" Target="../embeddings/oleObject182.bin"/><Relationship Id="rId37" Type="http://schemas.openxmlformats.org/officeDocument/2006/relationships/oleObject" Target="../embeddings/oleObject187.bin"/><Relationship Id="rId40" Type="http://schemas.openxmlformats.org/officeDocument/2006/relationships/oleObject" Target="../embeddings/oleObject190.bin"/><Relationship Id="rId45" Type="http://schemas.openxmlformats.org/officeDocument/2006/relationships/oleObject" Target="../embeddings/oleObject195.bin"/><Relationship Id="rId53" Type="http://schemas.openxmlformats.org/officeDocument/2006/relationships/oleObject" Target="../embeddings/oleObject203.bin"/><Relationship Id="rId58" Type="http://schemas.openxmlformats.org/officeDocument/2006/relationships/oleObject" Target="../embeddings/oleObject208.bin"/><Relationship Id="rId66" Type="http://schemas.openxmlformats.org/officeDocument/2006/relationships/oleObject" Target="../embeddings/oleObject216.bin"/><Relationship Id="rId5" Type="http://schemas.openxmlformats.org/officeDocument/2006/relationships/oleObject" Target="../embeddings/oleObject155.bin"/><Relationship Id="rId15" Type="http://schemas.openxmlformats.org/officeDocument/2006/relationships/oleObject" Target="../embeddings/oleObject165.bin"/><Relationship Id="rId23" Type="http://schemas.openxmlformats.org/officeDocument/2006/relationships/oleObject" Target="../embeddings/oleObject173.bin"/><Relationship Id="rId28" Type="http://schemas.openxmlformats.org/officeDocument/2006/relationships/oleObject" Target="../embeddings/oleObject178.bin"/><Relationship Id="rId36" Type="http://schemas.openxmlformats.org/officeDocument/2006/relationships/oleObject" Target="../embeddings/oleObject186.bin"/><Relationship Id="rId49" Type="http://schemas.openxmlformats.org/officeDocument/2006/relationships/oleObject" Target="../embeddings/oleObject199.bin"/><Relationship Id="rId57" Type="http://schemas.openxmlformats.org/officeDocument/2006/relationships/oleObject" Target="../embeddings/oleObject207.bin"/><Relationship Id="rId61" Type="http://schemas.openxmlformats.org/officeDocument/2006/relationships/oleObject" Target="../embeddings/oleObject211.bin"/><Relationship Id="rId10" Type="http://schemas.openxmlformats.org/officeDocument/2006/relationships/oleObject" Target="../embeddings/oleObject160.bin"/><Relationship Id="rId19" Type="http://schemas.openxmlformats.org/officeDocument/2006/relationships/oleObject" Target="../embeddings/oleObject169.bin"/><Relationship Id="rId31" Type="http://schemas.openxmlformats.org/officeDocument/2006/relationships/oleObject" Target="../embeddings/oleObject181.bin"/><Relationship Id="rId44" Type="http://schemas.openxmlformats.org/officeDocument/2006/relationships/oleObject" Target="../embeddings/oleObject194.bin"/><Relationship Id="rId52" Type="http://schemas.openxmlformats.org/officeDocument/2006/relationships/oleObject" Target="../embeddings/oleObject202.bin"/><Relationship Id="rId60" Type="http://schemas.openxmlformats.org/officeDocument/2006/relationships/oleObject" Target="../embeddings/oleObject210.bin"/><Relationship Id="rId65" Type="http://schemas.openxmlformats.org/officeDocument/2006/relationships/oleObject" Target="../embeddings/oleObject215.bin"/><Relationship Id="rId4" Type="http://schemas.openxmlformats.org/officeDocument/2006/relationships/oleObject" Target="../embeddings/oleObject154.bin"/><Relationship Id="rId9" Type="http://schemas.openxmlformats.org/officeDocument/2006/relationships/oleObject" Target="../embeddings/oleObject159.bin"/><Relationship Id="rId14" Type="http://schemas.openxmlformats.org/officeDocument/2006/relationships/oleObject" Target="../embeddings/oleObject164.bin"/><Relationship Id="rId22" Type="http://schemas.openxmlformats.org/officeDocument/2006/relationships/oleObject" Target="../embeddings/oleObject172.bin"/><Relationship Id="rId27" Type="http://schemas.openxmlformats.org/officeDocument/2006/relationships/oleObject" Target="../embeddings/oleObject177.bin"/><Relationship Id="rId30" Type="http://schemas.openxmlformats.org/officeDocument/2006/relationships/oleObject" Target="../embeddings/oleObject180.bin"/><Relationship Id="rId35" Type="http://schemas.openxmlformats.org/officeDocument/2006/relationships/oleObject" Target="../embeddings/oleObject185.bin"/><Relationship Id="rId43" Type="http://schemas.openxmlformats.org/officeDocument/2006/relationships/oleObject" Target="../embeddings/oleObject193.bin"/><Relationship Id="rId48" Type="http://schemas.openxmlformats.org/officeDocument/2006/relationships/oleObject" Target="../embeddings/oleObject198.bin"/><Relationship Id="rId56" Type="http://schemas.openxmlformats.org/officeDocument/2006/relationships/oleObject" Target="../embeddings/oleObject206.bin"/><Relationship Id="rId64" Type="http://schemas.openxmlformats.org/officeDocument/2006/relationships/oleObject" Target="../embeddings/oleObject214.bin"/><Relationship Id="rId69" Type="http://schemas.openxmlformats.org/officeDocument/2006/relationships/oleObject" Target="../embeddings/oleObject219.bin"/><Relationship Id="rId8" Type="http://schemas.openxmlformats.org/officeDocument/2006/relationships/oleObject" Target="../embeddings/oleObject158.bin"/><Relationship Id="rId51" Type="http://schemas.openxmlformats.org/officeDocument/2006/relationships/oleObject" Target="../embeddings/oleObject201.bin"/><Relationship Id="rId3" Type="http://schemas.openxmlformats.org/officeDocument/2006/relationships/vmlDrawing" Target="../drawings/vmlDrawing6.vml"/><Relationship Id="rId12" Type="http://schemas.openxmlformats.org/officeDocument/2006/relationships/oleObject" Target="../embeddings/oleObject162.bin"/><Relationship Id="rId17" Type="http://schemas.openxmlformats.org/officeDocument/2006/relationships/oleObject" Target="../embeddings/oleObject167.bin"/><Relationship Id="rId25" Type="http://schemas.openxmlformats.org/officeDocument/2006/relationships/oleObject" Target="../embeddings/oleObject175.bin"/><Relationship Id="rId33" Type="http://schemas.openxmlformats.org/officeDocument/2006/relationships/oleObject" Target="../embeddings/oleObject183.bin"/><Relationship Id="rId38" Type="http://schemas.openxmlformats.org/officeDocument/2006/relationships/oleObject" Target="../embeddings/oleObject188.bin"/><Relationship Id="rId46" Type="http://schemas.openxmlformats.org/officeDocument/2006/relationships/oleObject" Target="../embeddings/oleObject196.bin"/><Relationship Id="rId59" Type="http://schemas.openxmlformats.org/officeDocument/2006/relationships/oleObject" Target="../embeddings/oleObject209.bin"/><Relationship Id="rId67" Type="http://schemas.openxmlformats.org/officeDocument/2006/relationships/oleObject" Target="../embeddings/oleObject217.bin"/><Relationship Id="rId20" Type="http://schemas.openxmlformats.org/officeDocument/2006/relationships/oleObject" Target="../embeddings/oleObject170.bin"/><Relationship Id="rId41" Type="http://schemas.openxmlformats.org/officeDocument/2006/relationships/oleObject" Target="../embeddings/oleObject191.bin"/><Relationship Id="rId54" Type="http://schemas.openxmlformats.org/officeDocument/2006/relationships/oleObject" Target="../embeddings/oleObject204.bin"/><Relationship Id="rId62" Type="http://schemas.openxmlformats.org/officeDocument/2006/relationships/oleObject" Target="../embeddings/oleObject212.bin"/></Relationships>
</file>

<file path=xl/worksheets/_rels/sheet12.xml.rels><?xml version="1.0" encoding="UTF-8" standalone="yes"?>
<Relationships xmlns="http://schemas.openxmlformats.org/package/2006/relationships"><Relationship Id="rId13" Type="http://schemas.openxmlformats.org/officeDocument/2006/relationships/oleObject" Target="../embeddings/oleObject229.bin"/><Relationship Id="rId18" Type="http://schemas.openxmlformats.org/officeDocument/2006/relationships/oleObject" Target="../embeddings/oleObject234.bin"/><Relationship Id="rId26" Type="http://schemas.openxmlformats.org/officeDocument/2006/relationships/oleObject" Target="../embeddings/oleObject242.bin"/><Relationship Id="rId39" Type="http://schemas.openxmlformats.org/officeDocument/2006/relationships/oleObject" Target="../embeddings/oleObject255.bin"/><Relationship Id="rId21" Type="http://schemas.openxmlformats.org/officeDocument/2006/relationships/oleObject" Target="../embeddings/oleObject237.bin"/><Relationship Id="rId34" Type="http://schemas.openxmlformats.org/officeDocument/2006/relationships/oleObject" Target="../embeddings/oleObject250.bin"/><Relationship Id="rId42" Type="http://schemas.openxmlformats.org/officeDocument/2006/relationships/oleObject" Target="../embeddings/oleObject258.bin"/><Relationship Id="rId47" Type="http://schemas.openxmlformats.org/officeDocument/2006/relationships/oleObject" Target="../embeddings/oleObject263.bin"/><Relationship Id="rId50" Type="http://schemas.openxmlformats.org/officeDocument/2006/relationships/oleObject" Target="../embeddings/oleObject266.bin"/><Relationship Id="rId55" Type="http://schemas.openxmlformats.org/officeDocument/2006/relationships/oleObject" Target="../embeddings/oleObject271.bin"/><Relationship Id="rId63" Type="http://schemas.openxmlformats.org/officeDocument/2006/relationships/oleObject" Target="../embeddings/oleObject279.bin"/><Relationship Id="rId68" Type="http://schemas.openxmlformats.org/officeDocument/2006/relationships/oleObject" Target="../embeddings/oleObject284.bin"/><Relationship Id="rId7" Type="http://schemas.openxmlformats.org/officeDocument/2006/relationships/oleObject" Target="../embeddings/oleObject223.bin"/><Relationship Id="rId2" Type="http://schemas.openxmlformats.org/officeDocument/2006/relationships/drawing" Target="../drawings/drawing6.xml"/><Relationship Id="rId16" Type="http://schemas.openxmlformats.org/officeDocument/2006/relationships/oleObject" Target="../embeddings/oleObject232.bin"/><Relationship Id="rId29" Type="http://schemas.openxmlformats.org/officeDocument/2006/relationships/oleObject" Target="../embeddings/oleObject245.bin"/><Relationship Id="rId1" Type="http://schemas.openxmlformats.org/officeDocument/2006/relationships/printerSettings" Target="../printerSettings/printerSettings10.bin"/><Relationship Id="rId6" Type="http://schemas.openxmlformats.org/officeDocument/2006/relationships/oleObject" Target="../embeddings/oleObject222.bin"/><Relationship Id="rId11" Type="http://schemas.openxmlformats.org/officeDocument/2006/relationships/oleObject" Target="../embeddings/oleObject227.bin"/><Relationship Id="rId24" Type="http://schemas.openxmlformats.org/officeDocument/2006/relationships/oleObject" Target="../embeddings/oleObject240.bin"/><Relationship Id="rId32" Type="http://schemas.openxmlformats.org/officeDocument/2006/relationships/oleObject" Target="../embeddings/oleObject248.bin"/><Relationship Id="rId37" Type="http://schemas.openxmlformats.org/officeDocument/2006/relationships/oleObject" Target="../embeddings/oleObject253.bin"/><Relationship Id="rId40" Type="http://schemas.openxmlformats.org/officeDocument/2006/relationships/oleObject" Target="../embeddings/oleObject256.bin"/><Relationship Id="rId45" Type="http://schemas.openxmlformats.org/officeDocument/2006/relationships/oleObject" Target="../embeddings/oleObject261.bin"/><Relationship Id="rId53" Type="http://schemas.openxmlformats.org/officeDocument/2006/relationships/oleObject" Target="../embeddings/oleObject269.bin"/><Relationship Id="rId58" Type="http://schemas.openxmlformats.org/officeDocument/2006/relationships/oleObject" Target="../embeddings/oleObject274.bin"/><Relationship Id="rId66" Type="http://schemas.openxmlformats.org/officeDocument/2006/relationships/oleObject" Target="../embeddings/oleObject282.bin"/><Relationship Id="rId5" Type="http://schemas.openxmlformats.org/officeDocument/2006/relationships/oleObject" Target="../embeddings/oleObject221.bin"/><Relationship Id="rId15" Type="http://schemas.openxmlformats.org/officeDocument/2006/relationships/oleObject" Target="../embeddings/oleObject231.bin"/><Relationship Id="rId23" Type="http://schemas.openxmlformats.org/officeDocument/2006/relationships/oleObject" Target="../embeddings/oleObject239.bin"/><Relationship Id="rId28" Type="http://schemas.openxmlformats.org/officeDocument/2006/relationships/oleObject" Target="../embeddings/oleObject244.bin"/><Relationship Id="rId36" Type="http://schemas.openxmlformats.org/officeDocument/2006/relationships/oleObject" Target="../embeddings/oleObject252.bin"/><Relationship Id="rId49" Type="http://schemas.openxmlformats.org/officeDocument/2006/relationships/oleObject" Target="../embeddings/oleObject265.bin"/><Relationship Id="rId57" Type="http://schemas.openxmlformats.org/officeDocument/2006/relationships/oleObject" Target="../embeddings/oleObject273.bin"/><Relationship Id="rId61" Type="http://schemas.openxmlformats.org/officeDocument/2006/relationships/oleObject" Target="../embeddings/oleObject277.bin"/><Relationship Id="rId10" Type="http://schemas.openxmlformats.org/officeDocument/2006/relationships/oleObject" Target="../embeddings/oleObject226.bin"/><Relationship Id="rId19" Type="http://schemas.openxmlformats.org/officeDocument/2006/relationships/oleObject" Target="../embeddings/oleObject235.bin"/><Relationship Id="rId31" Type="http://schemas.openxmlformats.org/officeDocument/2006/relationships/oleObject" Target="../embeddings/oleObject247.bin"/><Relationship Id="rId44" Type="http://schemas.openxmlformats.org/officeDocument/2006/relationships/oleObject" Target="../embeddings/oleObject260.bin"/><Relationship Id="rId52" Type="http://schemas.openxmlformats.org/officeDocument/2006/relationships/oleObject" Target="../embeddings/oleObject268.bin"/><Relationship Id="rId60" Type="http://schemas.openxmlformats.org/officeDocument/2006/relationships/oleObject" Target="../embeddings/oleObject276.bin"/><Relationship Id="rId65" Type="http://schemas.openxmlformats.org/officeDocument/2006/relationships/oleObject" Target="../embeddings/oleObject281.bin"/><Relationship Id="rId4" Type="http://schemas.openxmlformats.org/officeDocument/2006/relationships/oleObject" Target="../embeddings/oleObject220.bin"/><Relationship Id="rId9" Type="http://schemas.openxmlformats.org/officeDocument/2006/relationships/oleObject" Target="../embeddings/oleObject225.bin"/><Relationship Id="rId14" Type="http://schemas.openxmlformats.org/officeDocument/2006/relationships/oleObject" Target="../embeddings/oleObject230.bin"/><Relationship Id="rId22" Type="http://schemas.openxmlformats.org/officeDocument/2006/relationships/oleObject" Target="../embeddings/oleObject238.bin"/><Relationship Id="rId27" Type="http://schemas.openxmlformats.org/officeDocument/2006/relationships/oleObject" Target="../embeddings/oleObject243.bin"/><Relationship Id="rId30" Type="http://schemas.openxmlformats.org/officeDocument/2006/relationships/oleObject" Target="../embeddings/oleObject246.bin"/><Relationship Id="rId35" Type="http://schemas.openxmlformats.org/officeDocument/2006/relationships/oleObject" Target="../embeddings/oleObject251.bin"/><Relationship Id="rId43" Type="http://schemas.openxmlformats.org/officeDocument/2006/relationships/oleObject" Target="../embeddings/oleObject259.bin"/><Relationship Id="rId48" Type="http://schemas.openxmlformats.org/officeDocument/2006/relationships/oleObject" Target="../embeddings/oleObject264.bin"/><Relationship Id="rId56" Type="http://schemas.openxmlformats.org/officeDocument/2006/relationships/oleObject" Target="../embeddings/oleObject272.bin"/><Relationship Id="rId64" Type="http://schemas.openxmlformats.org/officeDocument/2006/relationships/oleObject" Target="../embeddings/oleObject280.bin"/><Relationship Id="rId69" Type="http://schemas.openxmlformats.org/officeDocument/2006/relationships/oleObject" Target="../embeddings/oleObject285.bin"/><Relationship Id="rId8" Type="http://schemas.openxmlformats.org/officeDocument/2006/relationships/oleObject" Target="../embeddings/oleObject224.bin"/><Relationship Id="rId51" Type="http://schemas.openxmlformats.org/officeDocument/2006/relationships/oleObject" Target="../embeddings/oleObject267.bin"/><Relationship Id="rId3" Type="http://schemas.openxmlformats.org/officeDocument/2006/relationships/vmlDrawing" Target="../drawings/vmlDrawing7.vml"/><Relationship Id="rId12" Type="http://schemas.openxmlformats.org/officeDocument/2006/relationships/oleObject" Target="../embeddings/oleObject228.bin"/><Relationship Id="rId17" Type="http://schemas.openxmlformats.org/officeDocument/2006/relationships/oleObject" Target="../embeddings/oleObject233.bin"/><Relationship Id="rId25" Type="http://schemas.openxmlformats.org/officeDocument/2006/relationships/oleObject" Target="../embeddings/oleObject241.bin"/><Relationship Id="rId33" Type="http://schemas.openxmlformats.org/officeDocument/2006/relationships/oleObject" Target="../embeddings/oleObject249.bin"/><Relationship Id="rId38" Type="http://schemas.openxmlformats.org/officeDocument/2006/relationships/oleObject" Target="../embeddings/oleObject254.bin"/><Relationship Id="rId46" Type="http://schemas.openxmlformats.org/officeDocument/2006/relationships/oleObject" Target="../embeddings/oleObject262.bin"/><Relationship Id="rId59" Type="http://schemas.openxmlformats.org/officeDocument/2006/relationships/oleObject" Target="../embeddings/oleObject275.bin"/><Relationship Id="rId67" Type="http://schemas.openxmlformats.org/officeDocument/2006/relationships/oleObject" Target="../embeddings/oleObject283.bin"/><Relationship Id="rId20" Type="http://schemas.openxmlformats.org/officeDocument/2006/relationships/oleObject" Target="../embeddings/oleObject236.bin"/><Relationship Id="rId41" Type="http://schemas.openxmlformats.org/officeDocument/2006/relationships/oleObject" Target="../embeddings/oleObject257.bin"/><Relationship Id="rId54" Type="http://schemas.openxmlformats.org/officeDocument/2006/relationships/oleObject" Target="../embeddings/oleObject270.bin"/><Relationship Id="rId62" Type="http://schemas.openxmlformats.org/officeDocument/2006/relationships/oleObject" Target="../embeddings/oleObject278.bin"/></Relationships>
</file>

<file path=xl/worksheets/_rels/sheet13.xml.rels><?xml version="1.0" encoding="UTF-8" standalone="yes"?>
<Relationships xmlns="http://schemas.openxmlformats.org/package/2006/relationships"><Relationship Id="rId13" Type="http://schemas.openxmlformats.org/officeDocument/2006/relationships/oleObject" Target="../embeddings/oleObject295.bin"/><Relationship Id="rId18" Type="http://schemas.openxmlformats.org/officeDocument/2006/relationships/oleObject" Target="../embeddings/oleObject300.bin"/><Relationship Id="rId26" Type="http://schemas.openxmlformats.org/officeDocument/2006/relationships/oleObject" Target="../embeddings/oleObject308.bin"/><Relationship Id="rId39" Type="http://schemas.openxmlformats.org/officeDocument/2006/relationships/oleObject" Target="../embeddings/oleObject321.bin"/><Relationship Id="rId21" Type="http://schemas.openxmlformats.org/officeDocument/2006/relationships/oleObject" Target="../embeddings/oleObject303.bin"/><Relationship Id="rId34" Type="http://schemas.openxmlformats.org/officeDocument/2006/relationships/oleObject" Target="../embeddings/oleObject316.bin"/><Relationship Id="rId42" Type="http://schemas.openxmlformats.org/officeDocument/2006/relationships/oleObject" Target="../embeddings/oleObject324.bin"/><Relationship Id="rId47" Type="http://schemas.openxmlformats.org/officeDocument/2006/relationships/oleObject" Target="../embeddings/oleObject329.bin"/><Relationship Id="rId50" Type="http://schemas.openxmlformats.org/officeDocument/2006/relationships/oleObject" Target="../embeddings/oleObject332.bin"/><Relationship Id="rId55" Type="http://schemas.openxmlformats.org/officeDocument/2006/relationships/oleObject" Target="../embeddings/oleObject337.bin"/><Relationship Id="rId63" Type="http://schemas.openxmlformats.org/officeDocument/2006/relationships/oleObject" Target="../embeddings/oleObject345.bin"/><Relationship Id="rId68" Type="http://schemas.openxmlformats.org/officeDocument/2006/relationships/oleObject" Target="../embeddings/oleObject350.bin"/><Relationship Id="rId7" Type="http://schemas.openxmlformats.org/officeDocument/2006/relationships/oleObject" Target="../embeddings/oleObject289.bin"/><Relationship Id="rId2" Type="http://schemas.openxmlformats.org/officeDocument/2006/relationships/drawing" Target="../drawings/drawing7.xml"/><Relationship Id="rId16" Type="http://schemas.openxmlformats.org/officeDocument/2006/relationships/oleObject" Target="../embeddings/oleObject298.bin"/><Relationship Id="rId29" Type="http://schemas.openxmlformats.org/officeDocument/2006/relationships/oleObject" Target="../embeddings/oleObject311.bin"/><Relationship Id="rId1" Type="http://schemas.openxmlformats.org/officeDocument/2006/relationships/printerSettings" Target="../printerSettings/printerSettings11.bin"/><Relationship Id="rId6" Type="http://schemas.openxmlformats.org/officeDocument/2006/relationships/oleObject" Target="../embeddings/oleObject288.bin"/><Relationship Id="rId11" Type="http://schemas.openxmlformats.org/officeDocument/2006/relationships/oleObject" Target="../embeddings/oleObject293.bin"/><Relationship Id="rId24" Type="http://schemas.openxmlformats.org/officeDocument/2006/relationships/oleObject" Target="../embeddings/oleObject306.bin"/><Relationship Id="rId32" Type="http://schemas.openxmlformats.org/officeDocument/2006/relationships/oleObject" Target="../embeddings/oleObject314.bin"/><Relationship Id="rId37" Type="http://schemas.openxmlformats.org/officeDocument/2006/relationships/oleObject" Target="../embeddings/oleObject319.bin"/><Relationship Id="rId40" Type="http://schemas.openxmlformats.org/officeDocument/2006/relationships/oleObject" Target="../embeddings/oleObject322.bin"/><Relationship Id="rId45" Type="http://schemas.openxmlformats.org/officeDocument/2006/relationships/oleObject" Target="../embeddings/oleObject327.bin"/><Relationship Id="rId53" Type="http://schemas.openxmlformats.org/officeDocument/2006/relationships/oleObject" Target="../embeddings/oleObject335.bin"/><Relationship Id="rId58" Type="http://schemas.openxmlformats.org/officeDocument/2006/relationships/oleObject" Target="../embeddings/oleObject340.bin"/><Relationship Id="rId66" Type="http://schemas.openxmlformats.org/officeDocument/2006/relationships/oleObject" Target="../embeddings/oleObject348.bin"/><Relationship Id="rId5" Type="http://schemas.openxmlformats.org/officeDocument/2006/relationships/oleObject" Target="../embeddings/oleObject287.bin"/><Relationship Id="rId15" Type="http://schemas.openxmlformats.org/officeDocument/2006/relationships/oleObject" Target="../embeddings/oleObject297.bin"/><Relationship Id="rId23" Type="http://schemas.openxmlformats.org/officeDocument/2006/relationships/oleObject" Target="../embeddings/oleObject305.bin"/><Relationship Id="rId28" Type="http://schemas.openxmlformats.org/officeDocument/2006/relationships/oleObject" Target="../embeddings/oleObject310.bin"/><Relationship Id="rId36" Type="http://schemas.openxmlformats.org/officeDocument/2006/relationships/oleObject" Target="../embeddings/oleObject318.bin"/><Relationship Id="rId49" Type="http://schemas.openxmlformats.org/officeDocument/2006/relationships/oleObject" Target="../embeddings/oleObject331.bin"/><Relationship Id="rId57" Type="http://schemas.openxmlformats.org/officeDocument/2006/relationships/oleObject" Target="../embeddings/oleObject339.bin"/><Relationship Id="rId61" Type="http://schemas.openxmlformats.org/officeDocument/2006/relationships/oleObject" Target="../embeddings/oleObject343.bin"/><Relationship Id="rId10" Type="http://schemas.openxmlformats.org/officeDocument/2006/relationships/oleObject" Target="../embeddings/oleObject292.bin"/><Relationship Id="rId19" Type="http://schemas.openxmlformats.org/officeDocument/2006/relationships/oleObject" Target="../embeddings/oleObject301.bin"/><Relationship Id="rId31" Type="http://schemas.openxmlformats.org/officeDocument/2006/relationships/oleObject" Target="../embeddings/oleObject313.bin"/><Relationship Id="rId44" Type="http://schemas.openxmlformats.org/officeDocument/2006/relationships/oleObject" Target="../embeddings/oleObject326.bin"/><Relationship Id="rId52" Type="http://schemas.openxmlformats.org/officeDocument/2006/relationships/oleObject" Target="../embeddings/oleObject334.bin"/><Relationship Id="rId60" Type="http://schemas.openxmlformats.org/officeDocument/2006/relationships/oleObject" Target="../embeddings/oleObject342.bin"/><Relationship Id="rId65" Type="http://schemas.openxmlformats.org/officeDocument/2006/relationships/oleObject" Target="../embeddings/oleObject347.bin"/><Relationship Id="rId4" Type="http://schemas.openxmlformats.org/officeDocument/2006/relationships/oleObject" Target="../embeddings/oleObject286.bin"/><Relationship Id="rId9" Type="http://schemas.openxmlformats.org/officeDocument/2006/relationships/oleObject" Target="../embeddings/oleObject291.bin"/><Relationship Id="rId14" Type="http://schemas.openxmlformats.org/officeDocument/2006/relationships/oleObject" Target="../embeddings/oleObject296.bin"/><Relationship Id="rId22" Type="http://schemas.openxmlformats.org/officeDocument/2006/relationships/oleObject" Target="../embeddings/oleObject304.bin"/><Relationship Id="rId27" Type="http://schemas.openxmlformats.org/officeDocument/2006/relationships/oleObject" Target="../embeddings/oleObject309.bin"/><Relationship Id="rId30" Type="http://schemas.openxmlformats.org/officeDocument/2006/relationships/oleObject" Target="../embeddings/oleObject312.bin"/><Relationship Id="rId35" Type="http://schemas.openxmlformats.org/officeDocument/2006/relationships/oleObject" Target="../embeddings/oleObject317.bin"/><Relationship Id="rId43" Type="http://schemas.openxmlformats.org/officeDocument/2006/relationships/oleObject" Target="../embeddings/oleObject325.bin"/><Relationship Id="rId48" Type="http://schemas.openxmlformats.org/officeDocument/2006/relationships/oleObject" Target="../embeddings/oleObject330.bin"/><Relationship Id="rId56" Type="http://schemas.openxmlformats.org/officeDocument/2006/relationships/oleObject" Target="../embeddings/oleObject338.bin"/><Relationship Id="rId64" Type="http://schemas.openxmlformats.org/officeDocument/2006/relationships/oleObject" Target="../embeddings/oleObject346.bin"/><Relationship Id="rId69" Type="http://schemas.openxmlformats.org/officeDocument/2006/relationships/oleObject" Target="../embeddings/oleObject351.bin"/><Relationship Id="rId8" Type="http://schemas.openxmlformats.org/officeDocument/2006/relationships/oleObject" Target="../embeddings/oleObject290.bin"/><Relationship Id="rId51" Type="http://schemas.openxmlformats.org/officeDocument/2006/relationships/oleObject" Target="../embeddings/oleObject333.bin"/><Relationship Id="rId3" Type="http://schemas.openxmlformats.org/officeDocument/2006/relationships/vmlDrawing" Target="../drawings/vmlDrawing8.vml"/><Relationship Id="rId12" Type="http://schemas.openxmlformats.org/officeDocument/2006/relationships/oleObject" Target="../embeddings/oleObject294.bin"/><Relationship Id="rId17" Type="http://schemas.openxmlformats.org/officeDocument/2006/relationships/oleObject" Target="../embeddings/oleObject299.bin"/><Relationship Id="rId25" Type="http://schemas.openxmlformats.org/officeDocument/2006/relationships/oleObject" Target="../embeddings/oleObject307.bin"/><Relationship Id="rId33" Type="http://schemas.openxmlformats.org/officeDocument/2006/relationships/oleObject" Target="../embeddings/oleObject315.bin"/><Relationship Id="rId38" Type="http://schemas.openxmlformats.org/officeDocument/2006/relationships/oleObject" Target="../embeddings/oleObject320.bin"/><Relationship Id="rId46" Type="http://schemas.openxmlformats.org/officeDocument/2006/relationships/oleObject" Target="../embeddings/oleObject328.bin"/><Relationship Id="rId59" Type="http://schemas.openxmlformats.org/officeDocument/2006/relationships/oleObject" Target="../embeddings/oleObject341.bin"/><Relationship Id="rId67" Type="http://schemas.openxmlformats.org/officeDocument/2006/relationships/oleObject" Target="../embeddings/oleObject349.bin"/><Relationship Id="rId20" Type="http://schemas.openxmlformats.org/officeDocument/2006/relationships/oleObject" Target="../embeddings/oleObject302.bin"/><Relationship Id="rId41" Type="http://schemas.openxmlformats.org/officeDocument/2006/relationships/oleObject" Target="../embeddings/oleObject323.bin"/><Relationship Id="rId54" Type="http://schemas.openxmlformats.org/officeDocument/2006/relationships/oleObject" Target="../embeddings/oleObject336.bin"/><Relationship Id="rId62" Type="http://schemas.openxmlformats.org/officeDocument/2006/relationships/oleObject" Target="../embeddings/oleObject344.bin"/></Relationships>
</file>

<file path=xl/worksheets/_rels/sheet14.xml.rels><?xml version="1.0" encoding="UTF-8" standalone="yes"?>
<Relationships xmlns="http://schemas.openxmlformats.org/package/2006/relationships"><Relationship Id="rId13" Type="http://schemas.openxmlformats.org/officeDocument/2006/relationships/oleObject" Target="../embeddings/oleObject361.bin"/><Relationship Id="rId18" Type="http://schemas.openxmlformats.org/officeDocument/2006/relationships/oleObject" Target="../embeddings/oleObject366.bin"/><Relationship Id="rId26" Type="http://schemas.openxmlformats.org/officeDocument/2006/relationships/oleObject" Target="../embeddings/oleObject374.bin"/><Relationship Id="rId39" Type="http://schemas.openxmlformats.org/officeDocument/2006/relationships/oleObject" Target="../embeddings/oleObject387.bin"/><Relationship Id="rId21" Type="http://schemas.openxmlformats.org/officeDocument/2006/relationships/oleObject" Target="../embeddings/oleObject369.bin"/><Relationship Id="rId34" Type="http://schemas.openxmlformats.org/officeDocument/2006/relationships/oleObject" Target="../embeddings/oleObject382.bin"/><Relationship Id="rId42" Type="http://schemas.openxmlformats.org/officeDocument/2006/relationships/oleObject" Target="../embeddings/oleObject390.bin"/><Relationship Id="rId47" Type="http://schemas.openxmlformats.org/officeDocument/2006/relationships/oleObject" Target="../embeddings/oleObject395.bin"/><Relationship Id="rId50" Type="http://schemas.openxmlformats.org/officeDocument/2006/relationships/oleObject" Target="../embeddings/oleObject398.bin"/><Relationship Id="rId55" Type="http://schemas.openxmlformats.org/officeDocument/2006/relationships/oleObject" Target="../embeddings/oleObject403.bin"/><Relationship Id="rId63" Type="http://schemas.openxmlformats.org/officeDocument/2006/relationships/oleObject" Target="../embeddings/oleObject411.bin"/><Relationship Id="rId68" Type="http://schemas.openxmlformats.org/officeDocument/2006/relationships/oleObject" Target="../embeddings/oleObject416.bin"/><Relationship Id="rId7" Type="http://schemas.openxmlformats.org/officeDocument/2006/relationships/oleObject" Target="../embeddings/oleObject355.bin"/><Relationship Id="rId2" Type="http://schemas.openxmlformats.org/officeDocument/2006/relationships/drawing" Target="../drawings/drawing8.xml"/><Relationship Id="rId16" Type="http://schemas.openxmlformats.org/officeDocument/2006/relationships/oleObject" Target="../embeddings/oleObject364.bin"/><Relationship Id="rId29" Type="http://schemas.openxmlformats.org/officeDocument/2006/relationships/oleObject" Target="../embeddings/oleObject377.bin"/><Relationship Id="rId1" Type="http://schemas.openxmlformats.org/officeDocument/2006/relationships/printerSettings" Target="../printerSettings/printerSettings12.bin"/><Relationship Id="rId6" Type="http://schemas.openxmlformats.org/officeDocument/2006/relationships/oleObject" Target="../embeddings/oleObject354.bin"/><Relationship Id="rId11" Type="http://schemas.openxmlformats.org/officeDocument/2006/relationships/oleObject" Target="../embeddings/oleObject359.bin"/><Relationship Id="rId24" Type="http://schemas.openxmlformats.org/officeDocument/2006/relationships/oleObject" Target="../embeddings/oleObject372.bin"/><Relationship Id="rId32" Type="http://schemas.openxmlformats.org/officeDocument/2006/relationships/oleObject" Target="../embeddings/oleObject380.bin"/><Relationship Id="rId37" Type="http://schemas.openxmlformats.org/officeDocument/2006/relationships/oleObject" Target="../embeddings/oleObject385.bin"/><Relationship Id="rId40" Type="http://schemas.openxmlformats.org/officeDocument/2006/relationships/oleObject" Target="../embeddings/oleObject388.bin"/><Relationship Id="rId45" Type="http://schemas.openxmlformats.org/officeDocument/2006/relationships/oleObject" Target="../embeddings/oleObject393.bin"/><Relationship Id="rId53" Type="http://schemas.openxmlformats.org/officeDocument/2006/relationships/oleObject" Target="../embeddings/oleObject401.bin"/><Relationship Id="rId58" Type="http://schemas.openxmlformats.org/officeDocument/2006/relationships/oleObject" Target="../embeddings/oleObject406.bin"/><Relationship Id="rId66" Type="http://schemas.openxmlformats.org/officeDocument/2006/relationships/oleObject" Target="../embeddings/oleObject414.bin"/><Relationship Id="rId5" Type="http://schemas.openxmlformats.org/officeDocument/2006/relationships/oleObject" Target="../embeddings/oleObject353.bin"/><Relationship Id="rId15" Type="http://schemas.openxmlformats.org/officeDocument/2006/relationships/oleObject" Target="../embeddings/oleObject363.bin"/><Relationship Id="rId23" Type="http://schemas.openxmlformats.org/officeDocument/2006/relationships/oleObject" Target="../embeddings/oleObject371.bin"/><Relationship Id="rId28" Type="http://schemas.openxmlformats.org/officeDocument/2006/relationships/oleObject" Target="../embeddings/oleObject376.bin"/><Relationship Id="rId36" Type="http://schemas.openxmlformats.org/officeDocument/2006/relationships/oleObject" Target="../embeddings/oleObject384.bin"/><Relationship Id="rId49" Type="http://schemas.openxmlformats.org/officeDocument/2006/relationships/oleObject" Target="../embeddings/oleObject397.bin"/><Relationship Id="rId57" Type="http://schemas.openxmlformats.org/officeDocument/2006/relationships/oleObject" Target="../embeddings/oleObject405.bin"/><Relationship Id="rId61" Type="http://schemas.openxmlformats.org/officeDocument/2006/relationships/oleObject" Target="../embeddings/oleObject409.bin"/><Relationship Id="rId10" Type="http://schemas.openxmlformats.org/officeDocument/2006/relationships/oleObject" Target="../embeddings/oleObject358.bin"/><Relationship Id="rId19" Type="http://schemas.openxmlformats.org/officeDocument/2006/relationships/oleObject" Target="../embeddings/oleObject367.bin"/><Relationship Id="rId31" Type="http://schemas.openxmlformats.org/officeDocument/2006/relationships/oleObject" Target="../embeddings/oleObject379.bin"/><Relationship Id="rId44" Type="http://schemas.openxmlformats.org/officeDocument/2006/relationships/oleObject" Target="../embeddings/oleObject392.bin"/><Relationship Id="rId52" Type="http://schemas.openxmlformats.org/officeDocument/2006/relationships/oleObject" Target="../embeddings/oleObject400.bin"/><Relationship Id="rId60" Type="http://schemas.openxmlformats.org/officeDocument/2006/relationships/oleObject" Target="../embeddings/oleObject408.bin"/><Relationship Id="rId65" Type="http://schemas.openxmlformats.org/officeDocument/2006/relationships/oleObject" Target="../embeddings/oleObject413.bin"/><Relationship Id="rId4" Type="http://schemas.openxmlformats.org/officeDocument/2006/relationships/oleObject" Target="../embeddings/oleObject352.bin"/><Relationship Id="rId9" Type="http://schemas.openxmlformats.org/officeDocument/2006/relationships/oleObject" Target="../embeddings/oleObject357.bin"/><Relationship Id="rId14" Type="http://schemas.openxmlformats.org/officeDocument/2006/relationships/oleObject" Target="../embeddings/oleObject362.bin"/><Relationship Id="rId22" Type="http://schemas.openxmlformats.org/officeDocument/2006/relationships/oleObject" Target="../embeddings/oleObject370.bin"/><Relationship Id="rId27" Type="http://schemas.openxmlformats.org/officeDocument/2006/relationships/oleObject" Target="../embeddings/oleObject375.bin"/><Relationship Id="rId30" Type="http://schemas.openxmlformats.org/officeDocument/2006/relationships/oleObject" Target="../embeddings/oleObject378.bin"/><Relationship Id="rId35" Type="http://schemas.openxmlformats.org/officeDocument/2006/relationships/oleObject" Target="../embeddings/oleObject383.bin"/><Relationship Id="rId43" Type="http://schemas.openxmlformats.org/officeDocument/2006/relationships/oleObject" Target="../embeddings/oleObject391.bin"/><Relationship Id="rId48" Type="http://schemas.openxmlformats.org/officeDocument/2006/relationships/oleObject" Target="../embeddings/oleObject396.bin"/><Relationship Id="rId56" Type="http://schemas.openxmlformats.org/officeDocument/2006/relationships/oleObject" Target="../embeddings/oleObject404.bin"/><Relationship Id="rId64" Type="http://schemas.openxmlformats.org/officeDocument/2006/relationships/oleObject" Target="../embeddings/oleObject412.bin"/><Relationship Id="rId69" Type="http://schemas.openxmlformats.org/officeDocument/2006/relationships/oleObject" Target="../embeddings/oleObject417.bin"/><Relationship Id="rId8" Type="http://schemas.openxmlformats.org/officeDocument/2006/relationships/oleObject" Target="../embeddings/oleObject356.bin"/><Relationship Id="rId51" Type="http://schemas.openxmlformats.org/officeDocument/2006/relationships/oleObject" Target="../embeddings/oleObject399.bin"/><Relationship Id="rId3" Type="http://schemas.openxmlformats.org/officeDocument/2006/relationships/vmlDrawing" Target="../drawings/vmlDrawing9.vml"/><Relationship Id="rId12" Type="http://schemas.openxmlformats.org/officeDocument/2006/relationships/oleObject" Target="../embeddings/oleObject360.bin"/><Relationship Id="rId17" Type="http://schemas.openxmlformats.org/officeDocument/2006/relationships/oleObject" Target="../embeddings/oleObject365.bin"/><Relationship Id="rId25" Type="http://schemas.openxmlformats.org/officeDocument/2006/relationships/oleObject" Target="../embeddings/oleObject373.bin"/><Relationship Id="rId33" Type="http://schemas.openxmlformats.org/officeDocument/2006/relationships/oleObject" Target="../embeddings/oleObject381.bin"/><Relationship Id="rId38" Type="http://schemas.openxmlformats.org/officeDocument/2006/relationships/oleObject" Target="../embeddings/oleObject386.bin"/><Relationship Id="rId46" Type="http://schemas.openxmlformats.org/officeDocument/2006/relationships/oleObject" Target="../embeddings/oleObject394.bin"/><Relationship Id="rId59" Type="http://schemas.openxmlformats.org/officeDocument/2006/relationships/oleObject" Target="../embeddings/oleObject407.bin"/><Relationship Id="rId67" Type="http://schemas.openxmlformats.org/officeDocument/2006/relationships/oleObject" Target="../embeddings/oleObject415.bin"/><Relationship Id="rId20" Type="http://schemas.openxmlformats.org/officeDocument/2006/relationships/oleObject" Target="../embeddings/oleObject368.bin"/><Relationship Id="rId41" Type="http://schemas.openxmlformats.org/officeDocument/2006/relationships/oleObject" Target="../embeddings/oleObject389.bin"/><Relationship Id="rId54" Type="http://schemas.openxmlformats.org/officeDocument/2006/relationships/oleObject" Target="../embeddings/oleObject402.bin"/><Relationship Id="rId62" Type="http://schemas.openxmlformats.org/officeDocument/2006/relationships/oleObject" Target="../embeddings/oleObject410.bin"/></Relationships>
</file>

<file path=xl/worksheets/_rels/sheet15.xml.rels><?xml version="1.0" encoding="UTF-8" standalone="yes"?>
<Relationships xmlns="http://schemas.openxmlformats.org/package/2006/relationships"><Relationship Id="rId13" Type="http://schemas.openxmlformats.org/officeDocument/2006/relationships/oleObject" Target="../embeddings/oleObject427.bin"/><Relationship Id="rId18" Type="http://schemas.openxmlformats.org/officeDocument/2006/relationships/oleObject" Target="../embeddings/oleObject432.bin"/><Relationship Id="rId26" Type="http://schemas.openxmlformats.org/officeDocument/2006/relationships/oleObject" Target="../embeddings/oleObject440.bin"/><Relationship Id="rId39" Type="http://schemas.openxmlformats.org/officeDocument/2006/relationships/oleObject" Target="../embeddings/oleObject453.bin"/><Relationship Id="rId21" Type="http://schemas.openxmlformats.org/officeDocument/2006/relationships/oleObject" Target="../embeddings/oleObject435.bin"/><Relationship Id="rId34" Type="http://schemas.openxmlformats.org/officeDocument/2006/relationships/oleObject" Target="../embeddings/oleObject448.bin"/><Relationship Id="rId42" Type="http://schemas.openxmlformats.org/officeDocument/2006/relationships/oleObject" Target="../embeddings/oleObject456.bin"/><Relationship Id="rId47" Type="http://schemas.openxmlformats.org/officeDocument/2006/relationships/oleObject" Target="../embeddings/oleObject461.bin"/><Relationship Id="rId50" Type="http://schemas.openxmlformats.org/officeDocument/2006/relationships/oleObject" Target="../embeddings/oleObject464.bin"/><Relationship Id="rId55" Type="http://schemas.openxmlformats.org/officeDocument/2006/relationships/oleObject" Target="../embeddings/oleObject469.bin"/><Relationship Id="rId63" Type="http://schemas.openxmlformats.org/officeDocument/2006/relationships/oleObject" Target="../embeddings/oleObject477.bin"/><Relationship Id="rId68" Type="http://schemas.openxmlformats.org/officeDocument/2006/relationships/oleObject" Target="../embeddings/oleObject482.bin"/><Relationship Id="rId7" Type="http://schemas.openxmlformats.org/officeDocument/2006/relationships/oleObject" Target="../embeddings/oleObject421.bin"/><Relationship Id="rId2" Type="http://schemas.openxmlformats.org/officeDocument/2006/relationships/drawing" Target="../drawings/drawing9.xml"/><Relationship Id="rId16" Type="http://schemas.openxmlformats.org/officeDocument/2006/relationships/oleObject" Target="../embeddings/oleObject430.bin"/><Relationship Id="rId29" Type="http://schemas.openxmlformats.org/officeDocument/2006/relationships/oleObject" Target="../embeddings/oleObject443.bin"/><Relationship Id="rId1" Type="http://schemas.openxmlformats.org/officeDocument/2006/relationships/printerSettings" Target="../printerSettings/printerSettings13.bin"/><Relationship Id="rId6" Type="http://schemas.openxmlformats.org/officeDocument/2006/relationships/oleObject" Target="../embeddings/oleObject420.bin"/><Relationship Id="rId11" Type="http://schemas.openxmlformats.org/officeDocument/2006/relationships/oleObject" Target="../embeddings/oleObject425.bin"/><Relationship Id="rId24" Type="http://schemas.openxmlformats.org/officeDocument/2006/relationships/oleObject" Target="../embeddings/oleObject438.bin"/><Relationship Id="rId32" Type="http://schemas.openxmlformats.org/officeDocument/2006/relationships/oleObject" Target="../embeddings/oleObject446.bin"/><Relationship Id="rId37" Type="http://schemas.openxmlformats.org/officeDocument/2006/relationships/oleObject" Target="../embeddings/oleObject451.bin"/><Relationship Id="rId40" Type="http://schemas.openxmlformats.org/officeDocument/2006/relationships/oleObject" Target="../embeddings/oleObject454.bin"/><Relationship Id="rId45" Type="http://schemas.openxmlformats.org/officeDocument/2006/relationships/oleObject" Target="../embeddings/oleObject459.bin"/><Relationship Id="rId53" Type="http://schemas.openxmlformats.org/officeDocument/2006/relationships/oleObject" Target="../embeddings/oleObject467.bin"/><Relationship Id="rId58" Type="http://schemas.openxmlformats.org/officeDocument/2006/relationships/oleObject" Target="../embeddings/oleObject472.bin"/><Relationship Id="rId66" Type="http://schemas.openxmlformats.org/officeDocument/2006/relationships/oleObject" Target="../embeddings/oleObject480.bin"/><Relationship Id="rId5" Type="http://schemas.openxmlformats.org/officeDocument/2006/relationships/oleObject" Target="../embeddings/oleObject419.bin"/><Relationship Id="rId15" Type="http://schemas.openxmlformats.org/officeDocument/2006/relationships/oleObject" Target="../embeddings/oleObject429.bin"/><Relationship Id="rId23" Type="http://schemas.openxmlformats.org/officeDocument/2006/relationships/oleObject" Target="../embeddings/oleObject437.bin"/><Relationship Id="rId28" Type="http://schemas.openxmlformats.org/officeDocument/2006/relationships/oleObject" Target="../embeddings/oleObject442.bin"/><Relationship Id="rId36" Type="http://schemas.openxmlformats.org/officeDocument/2006/relationships/oleObject" Target="../embeddings/oleObject450.bin"/><Relationship Id="rId49" Type="http://schemas.openxmlformats.org/officeDocument/2006/relationships/oleObject" Target="../embeddings/oleObject463.bin"/><Relationship Id="rId57" Type="http://schemas.openxmlformats.org/officeDocument/2006/relationships/oleObject" Target="../embeddings/oleObject471.bin"/><Relationship Id="rId61" Type="http://schemas.openxmlformats.org/officeDocument/2006/relationships/oleObject" Target="../embeddings/oleObject475.bin"/><Relationship Id="rId10" Type="http://schemas.openxmlformats.org/officeDocument/2006/relationships/oleObject" Target="../embeddings/oleObject424.bin"/><Relationship Id="rId19" Type="http://schemas.openxmlformats.org/officeDocument/2006/relationships/oleObject" Target="../embeddings/oleObject433.bin"/><Relationship Id="rId31" Type="http://schemas.openxmlformats.org/officeDocument/2006/relationships/oleObject" Target="../embeddings/oleObject445.bin"/><Relationship Id="rId44" Type="http://schemas.openxmlformats.org/officeDocument/2006/relationships/oleObject" Target="../embeddings/oleObject458.bin"/><Relationship Id="rId52" Type="http://schemas.openxmlformats.org/officeDocument/2006/relationships/oleObject" Target="../embeddings/oleObject466.bin"/><Relationship Id="rId60" Type="http://schemas.openxmlformats.org/officeDocument/2006/relationships/oleObject" Target="../embeddings/oleObject474.bin"/><Relationship Id="rId65" Type="http://schemas.openxmlformats.org/officeDocument/2006/relationships/oleObject" Target="../embeddings/oleObject479.bin"/><Relationship Id="rId4" Type="http://schemas.openxmlformats.org/officeDocument/2006/relationships/oleObject" Target="../embeddings/oleObject418.bin"/><Relationship Id="rId9" Type="http://schemas.openxmlformats.org/officeDocument/2006/relationships/oleObject" Target="../embeddings/oleObject423.bin"/><Relationship Id="rId14" Type="http://schemas.openxmlformats.org/officeDocument/2006/relationships/oleObject" Target="../embeddings/oleObject428.bin"/><Relationship Id="rId22" Type="http://schemas.openxmlformats.org/officeDocument/2006/relationships/oleObject" Target="../embeddings/oleObject436.bin"/><Relationship Id="rId27" Type="http://schemas.openxmlformats.org/officeDocument/2006/relationships/oleObject" Target="../embeddings/oleObject441.bin"/><Relationship Id="rId30" Type="http://schemas.openxmlformats.org/officeDocument/2006/relationships/oleObject" Target="../embeddings/oleObject444.bin"/><Relationship Id="rId35" Type="http://schemas.openxmlformats.org/officeDocument/2006/relationships/oleObject" Target="../embeddings/oleObject449.bin"/><Relationship Id="rId43" Type="http://schemas.openxmlformats.org/officeDocument/2006/relationships/oleObject" Target="../embeddings/oleObject457.bin"/><Relationship Id="rId48" Type="http://schemas.openxmlformats.org/officeDocument/2006/relationships/oleObject" Target="../embeddings/oleObject462.bin"/><Relationship Id="rId56" Type="http://schemas.openxmlformats.org/officeDocument/2006/relationships/oleObject" Target="../embeddings/oleObject470.bin"/><Relationship Id="rId64" Type="http://schemas.openxmlformats.org/officeDocument/2006/relationships/oleObject" Target="../embeddings/oleObject478.bin"/><Relationship Id="rId69" Type="http://schemas.openxmlformats.org/officeDocument/2006/relationships/oleObject" Target="../embeddings/oleObject483.bin"/><Relationship Id="rId8" Type="http://schemas.openxmlformats.org/officeDocument/2006/relationships/oleObject" Target="../embeddings/oleObject422.bin"/><Relationship Id="rId51" Type="http://schemas.openxmlformats.org/officeDocument/2006/relationships/oleObject" Target="../embeddings/oleObject465.bin"/><Relationship Id="rId3" Type="http://schemas.openxmlformats.org/officeDocument/2006/relationships/vmlDrawing" Target="../drawings/vmlDrawing10.vml"/><Relationship Id="rId12" Type="http://schemas.openxmlformats.org/officeDocument/2006/relationships/oleObject" Target="../embeddings/oleObject426.bin"/><Relationship Id="rId17" Type="http://schemas.openxmlformats.org/officeDocument/2006/relationships/oleObject" Target="../embeddings/oleObject431.bin"/><Relationship Id="rId25" Type="http://schemas.openxmlformats.org/officeDocument/2006/relationships/oleObject" Target="../embeddings/oleObject439.bin"/><Relationship Id="rId33" Type="http://schemas.openxmlformats.org/officeDocument/2006/relationships/oleObject" Target="../embeddings/oleObject447.bin"/><Relationship Id="rId38" Type="http://schemas.openxmlformats.org/officeDocument/2006/relationships/oleObject" Target="../embeddings/oleObject452.bin"/><Relationship Id="rId46" Type="http://schemas.openxmlformats.org/officeDocument/2006/relationships/oleObject" Target="../embeddings/oleObject460.bin"/><Relationship Id="rId59" Type="http://schemas.openxmlformats.org/officeDocument/2006/relationships/oleObject" Target="../embeddings/oleObject473.bin"/><Relationship Id="rId67" Type="http://schemas.openxmlformats.org/officeDocument/2006/relationships/oleObject" Target="../embeddings/oleObject481.bin"/><Relationship Id="rId20" Type="http://schemas.openxmlformats.org/officeDocument/2006/relationships/oleObject" Target="../embeddings/oleObject434.bin"/><Relationship Id="rId41" Type="http://schemas.openxmlformats.org/officeDocument/2006/relationships/oleObject" Target="../embeddings/oleObject455.bin"/><Relationship Id="rId54" Type="http://schemas.openxmlformats.org/officeDocument/2006/relationships/oleObject" Target="../embeddings/oleObject468.bin"/><Relationship Id="rId62" Type="http://schemas.openxmlformats.org/officeDocument/2006/relationships/oleObject" Target="../embeddings/oleObject47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1.vml"/></Relationships>
</file>

<file path=xl/worksheets/_rels/sheet19.xml.rels><?xml version="1.0" encoding="UTF-8" standalone="yes"?>
<Relationships xmlns="http://schemas.openxmlformats.org/package/2006/relationships"><Relationship Id="rId8" Type="http://schemas.openxmlformats.org/officeDocument/2006/relationships/oleObject" Target="../embeddings/oleObject489.bin"/><Relationship Id="rId13" Type="http://schemas.openxmlformats.org/officeDocument/2006/relationships/oleObject" Target="../embeddings/oleObject494.bin"/><Relationship Id="rId3" Type="http://schemas.openxmlformats.org/officeDocument/2006/relationships/oleObject" Target="../embeddings/oleObject484.bin"/><Relationship Id="rId7" Type="http://schemas.openxmlformats.org/officeDocument/2006/relationships/oleObject" Target="../embeddings/oleObject488.bin"/><Relationship Id="rId12" Type="http://schemas.openxmlformats.org/officeDocument/2006/relationships/oleObject" Target="../embeddings/oleObject493.bin"/><Relationship Id="rId2" Type="http://schemas.openxmlformats.org/officeDocument/2006/relationships/vmlDrawing" Target="../drawings/vmlDrawing12.vml"/><Relationship Id="rId1" Type="http://schemas.openxmlformats.org/officeDocument/2006/relationships/printerSettings" Target="../printerSettings/printerSettings15.bin"/><Relationship Id="rId6" Type="http://schemas.openxmlformats.org/officeDocument/2006/relationships/oleObject" Target="../embeddings/oleObject487.bin"/><Relationship Id="rId11" Type="http://schemas.openxmlformats.org/officeDocument/2006/relationships/oleObject" Target="../embeddings/oleObject492.bin"/><Relationship Id="rId5" Type="http://schemas.openxmlformats.org/officeDocument/2006/relationships/oleObject" Target="../embeddings/oleObject486.bin"/><Relationship Id="rId10" Type="http://schemas.openxmlformats.org/officeDocument/2006/relationships/oleObject" Target="../embeddings/oleObject491.bin"/><Relationship Id="rId4" Type="http://schemas.openxmlformats.org/officeDocument/2006/relationships/oleObject" Target="../embeddings/oleObject485.bin"/><Relationship Id="rId9" Type="http://schemas.openxmlformats.org/officeDocument/2006/relationships/oleObject" Target="../embeddings/oleObject490.bin"/></Relationships>
</file>

<file path=xl/worksheets/_rels/sheet20.xml.rels><?xml version="1.0" encoding="UTF-8" standalone="yes"?>
<Relationships xmlns="http://schemas.openxmlformats.org/package/2006/relationships"><Relationship Id="rId8" Type="http://schemas.openxmlformats.org/officeDocument/2006/relationships/oleObject" Target="../embeddings/oleObject500.bin"/><Relationship Id="rId13" Type="http://schemas.openxmlformats.org/officeDocument/2006/relationships/oleObject" Target="../embeddings/oleObject505.bin"/><Relationship Id="rId3" Type="http://schemas.openxmlformats.org/officeDocument/2006/relationships/oleObject" Target="../embeddings/oleObject495.bin"/><Relationship Id="rId7" Type="http://schemas.openxmlformats.org/officeDocument/2006/relationships/oleObject" Target="../embeddings/oleObject499.bin"/><Relationship Id="rId12" Type="http://schemas.openxmlformats.org/officeDocument/2006/relationships/oleObject" Target="../embeddings/oleObject504.bin"/><Relationship Id="rId17" Type="http://schemas.openxmlformats.org/officeDocument/2006/relationships/oleObject" Target="../embeddings/oleObject509.bin"/><Relationship Id="rId2" Type="http://schemas.openxmlformats.org/officeDocument/2006/relationships/vmlDrawing" Target="../drawings/vmlDrawing13.vml"/><Relationship Id="rId16" Type="http://schemas.openxmlformats.org/officeDocument/2006/relationships/oleObject" Target="../embeddings/oleObject508.bin"/><Relationship Id="rId1" Type="http://schemas.openxmlformats.org/officeDocument/2006/relationships/printerSettings" Target="../printerSettings/printerSettings16.bin"/><Relationship Id="rId6" Type="http://schemas.openxmlformats.org/officeDocument/2006/relationships/oleObject" Target="../embeddings/oleObject498.bin"/><Relationship Id="rId11" Type="http://schemas.openxmlformats.org/officeDocument/2006/relationships/oleObject" Target="../embeddings/oleObject503.bin"/><Relationship Id="rId5" Type="http://schemas.openxmlformats.org/officeDocument/2006/relationships/oleObject" Target="../embeddings/oleObject497.bin"/><Relationship Id="rId15" Type="http://schemas.openxmlformats.org/officeDocument/2006/relationships/oleObject" Target="../embeddings/oleObject507.bin"/><Relationship Id="rId10" Type="http://schemas.openxmlformats.org/officeDocument/2006/relationships/oleObject" Target="../embeddings/oleObject502.bin"/><Relationship Id="rId4" Type="http://schemas.openxmlformats.org/officeDocument/2006/relationships/oleObject" Target="../embeddings/oleObject496.bin"/><Relationship Id="rId9" Type="http://schemas.openxmlformats.org/officeDocument/2006/relationships/oleObject" Target="../embeddings/oleObject501.bin"/><Relationship Id="rId14" Type="http://schemas.openxmlformats.org/officeDocument/2006/relationships/oleObject" Target="../embeddings/oleObject506.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oleObject" Target="../embeddings/oleObject10.bin"/><Relationship Id="rId3" Type="http://schemas.openxmlformats.org/officeDocument/2006/relationships/vmlDrawing" Target="../drawings/vmlDrawing1.vml"/><Relationship Id="rId7" Type="http://schemas.openxmlformats.org/officeDocument/2006/relationships/oleObject" Target="../embeddings/oleObject4.bin"/><Relationship Id="rId12" Type="http://schemas.openxmlformats.org/officeDocument/2006/relationships/oleObject" Target="../embeddings/oleObject9.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3.bin"/><Relationship Id="rId11" Type="http://schemas.openxmlformats.org/officeDocument/2006/relationships/oleObject" Target="../embeddings/oleObject8.bin"/><Relationship Id="rId5" Type="http://schemas.openxmlformats.org/officeDocument/2006/relationships/oleObject" Target="../embeddings/oleObject2.bin"/><Relationship Id="rId10" Type="http://schemas.openxmlformats.org/officeDocument/2006/relationships/oleObject" Target="../embeddings/oleObject7.bin"/><Relationship Id="rId4" Type="http://schemas.openxmlformats.org/officeDocument/2006/relationships/oleObject" Target="../embeddings/oleObject1.bin"/><Relationship Id="rId9" Type="http://schemas.openxmlformats.org/officeDocument/2006/relationships/oleObject" Target="../embeddings/oleObject6.bin"/><Relationship Id="rId14" Type="http://schemas.openxmlformats.org/officeDocument/2006/relationships/oleObject" Target="../embeddings/oleObject1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16.bin"/><Relationship Id="rId13" Type="http://schemas.openxmlformats.org/officeDocument/2006/relationships/oleObject" Target="../embeddings/oleObject21.bin"/><Relationship Id="rId3" Type="http://schemas.openxmlformats.org/officeDocument/2006/relationships/vmlDrawing" Target="../drawings/vmlDrawing3.vml"/><Relationship Id="rId7" Type="http://schemas.openxmlformats.org/officeDocument/2006/relationships/oleObject" Target="../embeddings/oleObject15.bin"/><Relationship Id="rId12" Type="http://schemas.openxmlformats.org/officeDocument/2006/relationships/oleObject" Target="../embeddings/oleObject20.bin"/><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14.bin"/><Relationship Id="rId11" Type="http://schemas.openxmlformats.org/officeDocument/2006/relationships/oleObject" Target="../embeddings/oleObject19.bin"/><Relationship Id="rId5" Type="http://schemas.openxmlformats.org/officeDocument/2006/relationships/oleObject" Target="../embeddings/oleObject13.bin"/><Relationship Id="rId10" Type="http://schemas.openxmlformats.org/officeDocument/2006/relationships/oleObject" Target="../embeddings/oleObject18.bin"/><Relationship Id="rId4" Type="http://schemas.openxmlformats.org/officeDocument/2006/relationships/oleObject" Target="../embeddings/oleObject12.bin"/><Relationship Id="rId9" Type="http://schemas.openxmlformats.org/officeDocument/2006/relationships/oleObject" Target="../embeddings/oleObject17.bin"/><Relationship Id="rId14" Type="http://schemas.openxmlformats.org/officeDocument/2006/relationships/oleObject" Target="../embeddings/oleObject22.bin"/></Relationships>
</file>

<file path=xl/worksheets/_rels/sheet8.xml.rels><?xml version="1.0" encoding="UTF-8" standalone="yes"?>
<Relationships xmlns="http://schemas.openxmlformats.org/package/2006/relationships"><Relationship Id="rId13" Type="http://schemas.openxmlformats.org/officeDocument/2006/relationships/oleObject" Target="../embeddings/oleObject32.bin"/><Relationship Id="rId18" Type="http://schemas.openxmlformats.org/officeDocument/2006/relationships/oleObject" Target="../embeddings/oleObject37.bin"/><Relationship Id="rId26" Type="http://schemas.openxmlformats.org/officeDocument/2006/relationships/oleObject" Target="../embeddings/oleObject45.bin"/><Relationship Id="rId39" Type="http://schemas.openxmlformats.org/officeDocument/2006/relationships/oleObject" Target="../embeddings/oleObject58.bin"/><Relationship Id="rId21" Type="http://schemas.openxmlformats.org/officeDocument/2006/relationships/oleObject" Target="../embeddings/oleObject40.bin"/><Relationship Id="rId34" Type="http://schemas.openxmlformats.org/officeDocument/2006/relationships/oleObject" Target="../embeddings/oleObject53.bin"/><Relationship Id="rId42" Type="http://schemas.openxmlformats.org/officeDocument/2006/relationships/oleObject" Target="../embeddings/oleObject61.bin"/><Relationship Id="rId47" Type="http://schemas.openxmlformats.org/officeDocument/2006/relationships/oleObject" Target="../embeddings/oleObject66.bin"/><Relationship Id="rId50" Type="http://schemas.openxmlformats.org/officeDocument/2006/relationships/oleObject" Target="../embeddings/oleObject69.bin"/><Relationship Id="rId55" Type="http://schemas.openxmlformats.org/officeDocument/2006/relationships/oleObject" Target="../embeddings/oleObject74.bin"/><Relationship Id="rId63" Type="http://schemas.openxmlformats.org/officeDocument/2006/relationships/oleObject" Target="../embeddings/oleObject82.bin"/><Relationship Id="rId68" Type="http://schemas.openxmlformats.org/officeDocument/2006/relationships/oleObject" Target="../embeddings/oleObject87.bin"/><Relationship Id="rId7" Type="http://schemas.openxmlformats.org/officeDocument/2006/relationships/oleObject" Target="../embeddings/oleObject26.bin"/><Relationship Id="rId2" Type="http://schemas.openxmlformats.org/officeDocument/2006/relationships/drawing" Target="../drawings/drawing3.xml"/><Relationship Id="rId16" Type="http://schemas.openxmlformats.org/officeDocument/2006/relationships/oleObject" Target="../embeddings/oleObject35.bin"/><Relationship Id="rId29" Type="http://schemas.openxmlformats.org/officeDocument/2006/relationships/oleObject" Target="../embeddings/oleObject48.bin"/><Relationship Id="rId1" Type="http://schemas.openxmlformats.org/officeDocument/2006/relationships/printerSettings" Target="../printerSettings/printerSettings6.bin"/><Relationship Id="rId6" Type="http://schemas.openxmlformats.org/officeDocument/2006/relationships/oleObject" Target="../embeddings/oleObject25.bin"/><Relationship Id="rId11" Type="http://schemas.openxmlformats.org/officeDocument/2006/relationships/oleObject" Target="../embeddings/oleObject30.bin"/><Relationship Id="rId24" Type="http://schemas.openxmlformats.org/officeDocument/2006/relationships/oleObject" Target="../embeddings/oleObject43.bin"/><Relationship Id="rId32" Type="http://schemas.openxmlformats.org/officeDocument/2006/relationships/oleObject" Target="../embeddings/oleObject51.bin"/><Relationship Id="rId37" Type="http://schemas.openxmlformats.org/officeDocument/2006/relationships/oleObject" Target="../embeddings/oleObject56.bin"/><Relationship Id="rId40" Type="http://schemas.openxmlformats.org/officeDocument/2006/relationships/oleObject" Target="../embeddings/oleObject59.bin"/><Relationship Id="rId45" Type="http://schemas.openxmlformats.org/officeDocument/2006/relationships/oleObject" Target="../embeddings/oleObject64.bin"/><Relationship Id="rId53" Type="http://schemas.openxmlformats.org/officeDocument/2006/relationships/oleObject" Target="../embeddings/oleObject72.bin"/><Relationship Id="rId58" Type="http://schemas.openxmlformats.org/officeDocument/2006/relationships/oleObject" Target="../embeddings/oleObject77.bin"/><Relationship Id="rId66" Type="http://schemas.openxmlformats.org/officeDocument/2006/relationships/oleObject" Target="../embeddings/oleObject85.bin"/><Relationship Id="rId5" Type="http://schemas.openxmlformats.org/officeDocument/2006/relationships/oleObject" Target="../embeddings/oleObject24.bin"/><Relationship Id="rId15" Type="http://schemas.openxmlformats.org/officeDocument/2006/relationships/oleObject" Target="../embeddings/oleObject34.bin"/><Relationship Id="rId23" Type="http://schemas.openxmlformats.org/officeDocument/2006/relationships/oleObject" Target="../embeddings/oleObject42.bin"/><Relationship Id="rId28" Type="http://schemas.openxmlformats.org/officeDocument/2006/relationships/oleObject" Target="../embeddings/oleObject47.bin"/><Relationship Id="rId36" Type="http://schemas.openxmlformats.org/officeDocument/2006/relationships/oleObject" Target="../embeddings/oleObject55.bin"/><Relationship Id="rId49" Type="http://schemas.openxmlformats.org/officeDocument/2006/relationships/oleObject" Target="../embeddings/oleObject68.bin"/><Relationship Id="rId57" Type="http://schemas.openxmlformats.org/officeDocument/2006/relationships/oleObject" Target="../embeddings/oleObject76.bin"/><Relationship Id="rId61" Type="http://schemas.openxmlformats.org/officeDocument/2006/relationships/oleObject" Target="../embeddings/oleObject80.bin"/><Relationship Id="rId10" Type="http://schemas.openxmlformats.org/officeDocument/2006/relationships/oleObject" Target="../embeddings/oleObject29.bin"/><Relationship Id="rId19" Type="http://schemas.openxmlformats.org/officeDocument/2006/relationships/oleObject" Target="../embeddings/oleObject38.bin"/><Relationship Id="rId31" Type="http://schemas.openxmlformats.org/officeDocument/2006/relationships/oleObject" Target="../embeddings/oleObject50.bin"/><Relationship Id="rId44" Type="http://schemas.openxmlformats.org/officeDocument/2006/relationships/oleObject" Target="../embeddings/oleObject63.bin"/><Relationship Id="rId52" Type="http://schemas.openxmlformats.org/officeDocument/2006/relationships/oleObject" Target="../embeddings/oleObject71.bin"/><Relationship Id="rId60" Type="http://schemas.openxmlformats.org/officeDocument/2006/relationships/oleObject" Target="../embeddings/oleObject79.bin"/><Relationship Id="rId65" Type="http://schemas.openxmlformats.org/officeDocument/2006/relationships/oleObject" Target="../embeddings/oleObject84.bin"/><Relationship Id="rId4" Type="http://schemas.openxmlformats.org/officeDocument/2006/relationships/oleObject" Target="../embeddings/oleObject23.bin"/><Relationship Id="rId9" Type="http://schemas.openxmlformats.org/officeDocument/2006/relationships/oleObject" Target="../embeddings/oleObject28.bin"/><Relationship Id="rId14" Type="http://schemas.openxmlformats.org/officeDocument/2006/relationships/oleObject" Target="../embeddings/oleObject33.bin"/><Relationship Id="rId22" Type="http://schemas.openxmlformats.org/officeDocument/2006/relationships/oleObject" Target="../embeddings/oleObject41.bin"/><Relationship Id="rId27" Type="http://schemas.openxmlformats.org/officeDocument/2006/relationships/oleObject" Target="../embeddings/oleObject46.bin"/><Relationship Id="rId30" Type="http://schemas.openxmlformats.org/officeDocument/2006/relationships/oleObject" Target="../embeddings/oleObject49.bin"/><Relationship Id="rId35" Type="http://schemas.openxmlformats.org/officeDocument/2006/relationships/oleObject" Target="../embeddings/oleObject54.bin"/><Relationship Id="rId43" Type="http://schemas.openxmlformats.org/officeDocument/2006/relationships/oleObject" Target="../embeddings/oleObject62.bin"/><Relationship Id="rId48" Type="http://schemas.openxmlformats.org/officeDocument/2006/relationships/oleObject" Target="../embeddings/oleObject67.bin"/><Relationship Id="rId56" Type="http://schemas.openxmlformats.org/officeDocument/2006/relationships/oleObject" Target="../embeddings/oleObject75.bin"/><Relationship Id="rId64" Type="http://schemas.openxmlformats.org/officeDocument/2006/relationships/oleObject" Target="../embeddings/oleObject83.bin"/><Relationship Id="rId8" Type="http://schemas.openxmlformats.org/officeDocument/2006/relationships/oleObject" Target="../embeddings/oleObject27.bin"/><Relationship Id="rId51" Type="http://schemas.openxmlformats.org/officeDocument/2006/relationships/oleObject" Target="../embeddings/oleObject70.bin"/><Relationship Id="rId3" Type="http://schemas.openxmlformats.org/officeDocument/2006/relationships/vmlDrawing" Target="../drawings/vmlDrawing4.vml"/><Relationship Id="rId12" Type="http://schemas.openxmlformats.org/officeDocument/2006/relationships/oleObject" Target="../embeddings/oleObject31.bin"/><Relationship Id="rId17" Type="http://schemas.openxmlformats.org/officeDocument/2006/relationships/oleObject" Target="../embeddings/oleObject36.bin"/><Relationship Id="rId25" Type="http://schemas.openxmlformats.org/officeDocument/2006/relationships/oleObject" Target="../embeddings/oleObject44.bin"/><Relationship Id="rId33" Type="http://schemas.openxmlformats.org/officeDocument/2006/relationships/oleObject" Target="../embeddings/oleObject52.bin"/><Relationship Id="rId38" Type="http://schemas.openxmlformats.org/officeDocument/2006/relationships/oleObject" Target="../embeddings/oleObject57.bin"/><Relationship Id="rId46" Type="http://schemas.openxmlformats.org/officeDocument/2006/relationships/oleObject" Target="../embeddings/oleObject65.bin"/><Relationship Id="rId59" Type="http://schemas.openxmlformats.org/officeDocument/2006/relationships/oleObject" Target="../embeddings/oleObject78.bin"/><Relationship Id="rId67" Type="http://schemas.openxmlformats.org/officeDocument/2006/relationships/oleObject" Target="../embeddings/oleObject86.bin"/><Relationship Id="rId20" Type="http://schemas.openxmlformats.org/officeDocument/2006/relationships/oleObject" Target="../embeddings/oleObject39.bin"/><Relationship Id="rId41" Type="http://schemas.openxmlformats.org/officeDocument/2006/relationships/oleObject" Target="../embeddings/oleObject60.bin"/><Relationship Id="rId54" Type="http://schemas.openxmlformats.org/officeDocument/2006/relationships/oleObject" Target="../embeddings/oleObject73.bin"/><Relationship Id="rId62" Type="http://schemas.openxmlformats.org/officeDocument/2006/relationships/oleObject" Target="../embeddings/oleObject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J31"/>
  <sheetViews>
    <sheetView topLeftCell="B1" workbookViewId="0">
      <selection sqref="A1:XFD1048576"/>
    </sheetView>
  </sheetViews>
  <sheetFormatPr defaultRowHeight="15"/>
  <cols>
    <col min="1" max="1" width="11" customWidth="1"/>
    <col min="2" max="2" width="12.42578125" style="92" bestFit="1" customWidth="1"/>
    <col min="3" max="3" width="15.85546875" style="92" customWidth="1"/>
    <col min="4" max="4" width="34.5703125" customWidth="1"/>
    <col min="5" max="5" width="10.5703125" customWidth="1"/>
    <col min="6" max="6" width="27.42578125" bestFit="1" customWidth="1"/>
    <col min="7" max="7" width="9" bestFit="1" customWidth="1"/>
    <col min="8" max="8" width="19.28515625" bestFit="1" customWidth="1"/>
    <col min="9" max="9" width="19.85546875" bestFit="1" customWidth="1"/>
    <col min="10" max="10" width="19.5703125" customWidth="1"/>
    <col min="11" max="11" width="14.140625" customWidth="1"/>
    <col min="12" max="12" width="9.7109375" customWidth="1"/>
    <col min="13" max="13" width="16" customWidth="1"/>
    <col min="14" max="14" width="12.28515625" customWidth="1"/>
    <col min="18" max="18" width="10.42578125" customWidth="1"/>
    <col min="26" max="26" width="10.28515625" bestFit="1" customWidth="1"/>
    <col min="27" max="27" width="10.5703125" bestFit="1" customWidth="1"/>
    <col min="28" max="28" width="22.42578125" customWidth="1"/>
    <col min="29" max="29" width="13.5703125" bestFit="1" customWidth="1"/>
    <col min="30" max="30" width="16.28515625" bestFit="1" customWidth="1"/>
    <col min="33" max="33" width="15.28515625" bestFit="1" customWidth="1"/>
    <col min="36" max="36" width="23.28515625" customWidth="1"/>
  </cols>
  <sheetData>
    <row r="1" spans="1:62">
      <c r="AA1" s="111">
        <v>20</v>
      </c>
      <c r="AB1" s="111">
        <v>21</v>
      </c>
      <c r="AC1" s="111">
        <v>22</v>
      </c>
      <c r="AD1" s="111">
        <v>23</v>
      </c>
      <c r="AE1" s="111">
        <v>24</v>
      </c>
      <c r="AF1" s="111">
        <v>25</v>
      </c>
      <c r="AG1" s="111">
        <v>26</v>
      </c>
      <c r="AH1" s="111">
        <v>27</v>
      </c>
      <c r="AI1" s="111">
        <v>28</v>
      </c>
      <c r="AJ1" s="111">
        <v>29</v>
      </c>
      <c r="AK1" s="111">
        <v>30</v>
      </c>
      <c r="AL1" s="111">
        <v>31</v>
      </c>
      <c r="AM1" s="111">
        <v>32</v>
      </c>
      <c r="AN1" s="111">
        <v>33</v>
      </c>
      <c r="AO1" s="111">
        <v>34</v>
      </c>
      <c r="AP1" s="111">
        <v>35</v>
      </c>
      <c r="AQ1" s="111">
        <v>36</v>
      </c>
      <c r="AR1" s="111">
        <v>37</v>
      </c>
      <c r="AS1" s="111">
        <v>38</v>
      </c>
      <c r="AT1" s="111">
        <v>39</v>
      </c>
      <c r="AU1" s="111">
        <v>40</v>
      </c>
      <c r="AV1" s="111">
        <v>41</v>
      </c>
      <c r="AW1" s="111">
        <v>42</v>
      </c>
      <c r="AX1" s="111">
        <v>43</v>
      </c>
      <c r="AY1" s="111">
        <v>44</v>
      </c>
      <c r="AZ1" s="111">
        <v>45</v>
      </c>
      <c r="BA1" s="111">
        <v>46</v>
      </c>
      <c r="BB1" s="111">
        <v>47</v>
      </c>
      <c r="BC1" s="111">
        <v>48</v>
      </c>
      <c r="BD1" s="111">
        <v>49</v>
      </c>
      <c r="BE1" s="111">
        <v>50</v>
      </c>
      <c r="BF1" s="111">
        <v>51</v>
      </c>
      <c r="BG1" s="111">
        <v>52</v>
      </c>
      <c r="BH1" s="111">
        <v>53</v>
      </c>
      <c r="BI1" s="111">
        <v>54</v>
      </c>
      <c r="BJ1" s="111">
        <v>55</v>
      </c>
    </row>
    <row r="2" spans="1:62" s="112" customFormat="1" ht="60">
      <c r="A2" s="112" t="s">
        <v>384</v>
      </c>
      <c r="B2" s="74" t="s">
        <v>385</v>
      </c>
      <c r="C2" s="74" t="s">
        <v>195</v>
      </c>
      <c r="D2" s="113" t="s">
        <v>180</v>
      </c>
      <c r="E2" s="114" t="s">
        <v>386</v>
      </c>
      <c r="F2" s="113" t="s">
        <v>387</v>
      </c>
      <c r="G2" s="114" t="s">
        <v>182</v>
      </c>
      <c r="H2" s="114" t="s">
        <v>183</v>
      </c>
      <c r="I2" s="113" t="s">
        <v>388</v>
      </c>
      <c r="J2" s="113" t="s">
        <v>389</v>
      </c>
      <c r="K2" s="113" t="s">
        <v>390</v>
      </c>
      <c r="L2" s="113" t="s">
        <v>391</v>
      </c>
      <c r="M2" s="114" t="s">
        <v>184</v>
      </c>
      <c r="N2" s="114" t="s">
        <v>185</v>
      </c>
      <c r="O2" s="114" t="s">
        <v>186</v>
      </c>
      <c r="P2" s="114" t="s">
        <v>187</v>
      </c>
      <c r="Q2" s="114" t="s">
        <v>188</v>
      </c>
      <c r="R2" s="114" t="s">
        <v>392</v>
      </c>
      <c r="S2" s="114" t="s">
        <v>393</v>
      </c>
      <c r="T2" s="114" t="s">
        <v>394</v>
      </c>
      <c r="U2" s="114" t="s">
        <v>395</v>
      </c>
      <c r="V2" s="114" t="s">
        <v>396</v>
      </c>
      <c r="W2" s="114" t="s">
        <v>397</v>
      </c>
      <c r="X2" s="114" t="s">
        <v>398</v>
      </c>
      <c r="Y2" s="114" t="s">
        <v>193</v>
      </c>
      <c r="Z2" s="114" t="s">
        <v>399</v>
      </c>
      <c r="AA2" s="113" t="s">
        <v>400</v>
      </c>
      <c r="AB2" s="113" t="s">
        <v>401</v>
      </c>
      <c r="AC2" s="113" t="s">
        <v>402</v>
      </c>
      <c r="AD2" s="113" t="s">
        <v>403</v>
      </c>
      <c r="AE2" s="113" t="s">
        <v>404</v>
      </c>
      <c r="AF2" s="113" t="s">
        <v>405</v>
      </c>
      <c r="AG2" s="113" t="s">
        <v>406</v>
      </c>
      <c r="AH2" s="113" t="s">
        <v>407</v>
      </c>
      <c r="AI2" s="113" t="s">
        <v>408</v>
      </c>
      <c r="AJ2" s="113" t="s">
        <v>409</v>
      </c>
      <c r="AK2" s="113" t="s">
        <v>410</v>
      </c>
      <c r="AL2" s="113" t="s">
        <v>411</v>
      </c>
      <c r="AM2" s="113" t="s">
        <v>412</v>
      </c>
      <c r="AN2" s="113" t="s">
        <v>413</v>
      </c>
      <c r="AO2" s="113" t="s">
        <v>414</v>
      </c>
      <c r="AP2" s="113" t="s">
        <v>415</v>
      </c>
      <c r="AQ2" s="113" t="s">
        <v>416</v>
      </c>
      <c r="AR2" s="113" t="s">
        <v>417</v>
      </c>
      <c r="AS2" s="113" t="s">
        <v>418</v>
      </c>
      <c r="AT2" s="113" t="s">
        <v>419</v>
      </c>
      <c r="AU2" s="113" t="s">
        <v>420</v>
      </c>
      <c r="AV2" s="113" t="s">
        <v>421</v>
      </c>
      <c r="AW2" s="113" t="s">
        <v>422</v>
      </c>
      <c r="AX2" s="113" t="s">
        <v>423</v>
      </c>
      <c r="AY2" s="113" t="s">
        <v>424</v>
      </c>
      <c r="AZ2" s="113" t="s">
        <v>425</v>
      </c>
      <c r="BA2" s="113" t="s">
        <v>426</v>
      </c>
      <c r="BB2" s="113" t="s">
        <v>427</v>
      </c>
      <c r="BC2" s="113" t="s">
        <v>428</v>
      </c>
      <c r="BD2" s="113" t="s">
        <v>429</v>
      </c>
      <c r="BE2" s="113" t="s">
        <v>430</v>
      </c>
      <c r="BF2" s="113" t="s">
        <v>431</v>
      </c>
      <c r="BG2" s="113" t="s">
        <v>432</v>
      </c>
      <c r="BH2" s="113" t="s">
        <v>433</v>
      </c>
      <c r="BI2" s="113" t="s">
        <v>434</v>
      </c>
      <c r="BJ2" s="113" t="s">
        <v>435</v>
      </c>
    </row>
    <row r="3" spans="1:62" s="115" customFormat="1" ht="16.5" customHeight="1">
      <c r="A3" s="115" t="s">
        <v>196</v>
      </c>
      <c r="B3" s="111" t="s">
        <v>436</v>
      </c>
      <c r="C3" s="111">
        <v>1</v>
      </c>
      <c r="D3" s="116" t="s">
        <v>198</v>
      </c>
      <c r="E3" s="117">
        <v>1588</v>
      </c>
      <c r="F3" s="118" t="s">
        <v>197</v>
      </c>
      <c r="G3" s="119" t="s">
        <v>199</v>
      </c>
      <c r="H3" s="119" t="s">
        <v>199</v>
      </c>
      <c r="I3" s="118" t="s">
        <v>437</v>
      </c>
      <c r="J3" s="118" t="s">
        <v>438</v>
      </c>
      <c r="K3" s="118">
        <v>586</v>
      </c>
      <c r="L3" s="118">
        <v>5646</v>
      </c>
      <c r="M3" s="119" t="s">
        <v>200</v>
      </c>
      <c r="N3" s="120">
        <v>1.4482021319887958E-3</v>
      </c>
      <c r="O3" s="119" t="s">
        <v>192</v>
      </c>
      <c r="P3" s="119" t="s">
        <v>201</v>
      </c>
      <c r="Q3" s="119" t="s">
        <v>202</v>
      </c>
      <c r="R3" s="119" t="s">
        <v>203</v>
      </c>
      <c r="S3" s="117">
        <v>3</v>
      </c>
      <c r="T3" s="117">
        <v>0</v>
      </c>
      <c r="U3" s="121"/>
      <c r="V3" s="119" t="s">
        <v>219</v>
      </c>
      <c r="W3" s="120">
        <v>1.0333333333333334E-3</v>
      </c>
      <c r="X3" s="120">
        <v>1.4E-3</v>
      </c>
      <c r="Y3" s="122">
        <v>9.6</v>
      </c>
      <c r="Z3" s="123">
        <v>9.92E-3</v>
      </c>
      <c r="AA3" s="118" t="s">
        <v>439</v>
      </c>
      <c r="AB3" s="118" t="s">
        <v>440</v>
      </c>
      <c r="AC3" s="124">
        <v>28825</v>
      </c>
      <c r="AD3" s="115" t="s">
        <v>219</v>
      </c>
      <c r="AE3" s="115" t="s">
        <v>219</v>
      </c>
      <c r="AF3" s="125" t="s">
        <v>219</v>
      </c>
      <c r="AG3" s="115" t="s">
        <v>219</v>
      </c>
      <c r="AH3" s="115" t="s">
        <v>219</v>
      </c>
      <c r="AI3" s="125" t="s">
        <v>219</v>
      </c>
      <c r="AJ3" s="115" t="s">
        <v>219</v>
      </c>
      <c r="AK3" s="115" t="s">
        <v>219</v>
      </c>
      <c r="AL3" s="125" t="s">
        <v>219</v>
      </c>
      <c r="AM3" s="115" t="s">
        <v>219</v>
      </c>
      <c r="AN3" s="115" t="s">
        <v>219</v>
      </c>
      <c r="AO3" s="125" t="s">
        <v>219</v>
      </c>
    </row>
    <row r="4" spans="1:62" s="115" customFormat="1">
      <c r="A4" s="115" t="s">
        <v>211</v>
      </c>
      <c r="B4" s="126" t="s">
        <v>436</v>
      </c>
      <c r="C4" s="126">
        <v>2</v>
      </c>
      <c r="D4" s="126"/>
      <c r="E4" s="127">
        <v>617</v>
      </c>
      <c r="F4" s="128" t="s">
        <v>212</v>
      </c>
      <c r="G4" s="129" t="s">
        <v>214</v>
      </c>
      <c r="H4" s="129" t="s">
        <v>215</v>
      </c>
      <c r="I4" s="128" t="s">
        <v>437</v>
      </c>
      <c r="J4" s="128" t="s">
        <v>441</v>
      </c>
      <c r="K4" s="128">
        <v>395</v>
      </c>
      <c r="L4" s="128">
        <v>4000</v>
      </c>
      <c r="M4" s="129" t="s">
        <v>200</v>
      </c>
      <c r="N4" s="130">
        <v>1.3333333333333333E-3</v>
      </c>
      <c r="O4" s="129" t="s">
        <v>192</v>
      </c>
      <c r="P4" s="129" t="s">
        <v>201</v>
      </c>
      <c r="Q4" s="129" t="s">
        <v>202</v>
      </c>
      <c r="R4" s="129" t="s">
        <v>216</v>
      </c>
      <c r="S4" s="127">
        <v>6</v>
      </c>
      <c r="T4" s="127">
        <v>6</v>
      </c>
      <c r="U4" s="131"/>
      <c r="V4" s="129" t="s">
        <v>219</v>
      </c>
      <c r="W4" s="130">
        <v>1.3333333333333333E-3</v>
      </c>
      <c r="X4" s="130">
        <v>1.33E-3</v>
      </c>
      <c r="Y4" s="132">
        <v>10.126582278480999</v>
      </c>
      <c r="Z4" s="133">
        <v>1.3468354430379701E-2</v>
      </c>
      <c r="AA4" s="128" t="s">
        <v>439</v>
      </c>
      <c r="AB4" s="128" t="s">
        <v>440</v>
      </c>
      <c r="AC4" s="134">
        <v>39234</v>
      </c>
      <c r="AD4" s="128" t="s">
        <v>219</v>
      </c>
      <c r="AE4" s="128" t="s">
        <v>219</v>
      </c>
      <c r="AF4" s="134" t="s">
        <v>219</v>
      </c>
      <c r="AG4" s="128" t="s">
        <v>219</v>
      </c>
      <c r="AH4" s="128" t="s">
        <v>219</v>
      </c>
      <c r="AI4" s="134" t="s">
        <v>219</v>
      </c>
      <c r="AJ4" s="128" t="s">
        <v>219</v>
      </c>
      <c r="AK4" s="128" t="s">
        <v>219</v>
      </c>
      <c r="AL4" s="134" t="s">
        <v>219</v>
      </c>
      <c r="AM4" s="128" t="s">
        <v>219</v>
      </c>
      <c r="AN4" s="128" t="s">
        <v>219</v>
      </c>
      <c r="AO4" s="134" t="s">
        <v>219</v>
      </c>
      <c r="AP4" s="128"/>
      <c r="AQ4" s="128"/>
      <c r="AR4" s="128"/>
      <c r="AS4" s="128"/>
      <c r="AT4" s="128"/>
      <c r="AU4" s="128"/>
      <c r="AV4" s="128"/>
      <c r="AW4" s="128"/>
      <c r="AX4" s="128"/>
      <c r="AY4" s="128"/>
      <c r="AZ4" s="128"/>
      <c r="BA4" s="128"/>
      <c r="BB4" s="128"/>
      <c r="BC4" s="128"/>
      <c r="BD4" s="128"/>
      <c r="BE4" s="128"/>
      <c r="BF4" s="128"/>
      <c r="BG4" s="128"/>
      <c r="BH4" s="128"/>
      <c r="BI4" s="128"/>
      <c r="BJ4" s="128"/>
    </row>
    <row r="5" spans="1:62" s="76" customFormat="1">
      <c r="A5" s="76" t="s">
        <v>223</v>
      </c>
      <c r="B5" s="92" t="s">
        <v>436</v>
      </c>
      <c r="C5" s="92">
        <v>3</v>
      </c>
      <c r="D5" s="111"/>
      <c r="E5" s="135">
        <v>617</v>
      </c>
      <c r="F5" s="76" t="s">
        <v>212</v>
      </c>
      <c r="G5" s="136" t="s">
        <v>224</v>
      </c>
      <c r="H5" s="136" t="s">
        <v>225</v>
      </c>
      <c r="I5" s="76" t="s">
        <v>437</v>
      </c>
      <c r="J5" s="76" t="s">
        <v>441</v>
      </c>
      <c r="K5" s="76">
        <v>226</v>
      </c>
      <c r="L5" s="76">
        <v>2300</v>
      </c>
      <c r="M5" s="136" t="s">
        <v>200</v>
      </c>
      <c r="N5" s="137">
        <v>1.5000000000000002E-3</v>
      </c>
      <c r="O5" s="136" t="s">
        <v>192</v>
      </c>
      <c r="P5" s="136" t="s">
        <v>201</v>
      </c>
      <c r="Q5" s="136" t="s">
        <v>202</v>
      </c>
      <c r="R5" s="136" t="s">
        <v>226</v>
      </c>
      <c r="S5" s="135">
        <v>6</v>
      </c>
      <c r="T5" s="135">
        <v>6</v>
      </c>
      <c r="U5" s="138"/>
      <c r="V5" s="136" t="s">
        <v>219</v>
      </c>
      <c r="W5" s="137">
        <v>1.5000000000000002E-3</v>
      </c>
      <c r="X5" s="137">
        <v>1.5000000000000002E-3</v>
      </c>
      <c r="Y5" s="139">
        <v>10.176991150442477</v>
      </c>
      <c r="Z5" s="107">
        <v>1.5265486725663718E-2</v>
      </c>
      <c r="AA5" s="115" t="s">
        <v>439</v>
      </c>
      <c r="AB5" s="115" t="s">
        <v>440</v>
      </c>
      <c r="AC5" s="125">
        <v>38749</v>
      </c>
      <c r="AD5" s="115" t="s">
        <v>219</v>
      </c>
      <c r="AE5" s="115" t="s">
        <v>219</v>
      </c>
      <c r="AF5" s="125" t="s">
        <v>219</v>
      </c>
      <c r="AG5" s="115" t="s">
        <v>219</v>
      </c>
      <c r="AH5" s="115" t="s">
        <v>219</v>
      </c>
      <c r="AI5" s="125" t="s">
        <v>219</v>
      </c>
      <c r="AJ5" s="115" t="s">
        <v>219</v>
      </c>
      <c r="AK5" s="115" t="s">
        <v>219</v>
      </c>
      <c r="AL5" s="125" t="s">
        <v>219</v>
      </c>
      <c r="AM5" s="115" t="s">
        <v>219</v>
      </c>
      <c r="AN5" s="115" t="s">
        <v>219</v>
      </c>
      <c r="AO5" s="125" t="s">
        <v>219</v>
      </c>
    </row>
    <row r="6" spans="1:62" s="76" customFormat="1">
      <c r="A6" s="76" t="s">
        <v>230</v>
      </c>
      <c r="B6" s="92" t="s">
        <v>436</v>
      </c>
      <c r="C6" s="92">
        <v>4</v>
      </c>
      <c r="D6" s="111"/>
      <c r="E6" s="135">
        <v>548</v>
      </c>
      <c r="F6" s="76" t="s">
        <v>231</v>
      </c>
      <c r="G6" s="136" t="s">
        <v>232</v>
      </c>
      <c r="H6" s="136" t="s">
        <v>232</v>
      </c>
      <c r="I6" s="76" t="s">
        <v>437</v>
      </c>
      <c r="J6" s="76" t="s">
        <v>438</v>
      </c>
      <c r="K6" s="76">
        <v>178</v>
      </c>
      <c r="L6" s="76">
        <v>1776</v>
      </c>
      <c r="M6" s="136" t="s">
        <v>200</v>
      </c>
      <c r="N6" s="137">
        <v>1.5707678472790065E-3</v>
      </c>
      <c r="O6" s="136" t="s">
        <v>192</v>
      </c>
      <c r="P6" s="136" t="s">
        <v>217</v>
      </c>
      <c r="Q6" s="136" t="s">
        <v>218</v>
      </c>
      <c r="R6" s="136" t="s">
        <v>219</v>
      </c>
      <c r="S6" s="135">
        <v>3</v>
      </c>
      <c r="T6" s="135">
        <v>3</v>
      </c>
      <c r="U6" s="140">
        <v>1000</v>
      </c>
      <c r="V6" s="136" t="s">
        <v>219</v>
      </c>
      <c r="W6" s="137">
        <v>1.5707678472790065E-3</v>
      </c>
      <c r="X6" s="137">
        <v>1.5707678472790065E-3</v>
      </c>
      <c r="Y6" s="139">
        <v>9.97752808988764</v>
      </c>
      <c r="Z6" s="107">
        <v>1.5672380318918627E-2</v>
      </c>
      <c r="AA6" s="115" t="s">
        <v>442</v>
      </c>
      <c r="AB6" s="115" t="s">
        <v>443</v>
      </c>
      <c r="AC6" s="125">
        <v>34973</v>
      </c>
      <c r="AD6" s="115" t="s">
        <v>439</v>
      </c>
      <c r="AE6" s="115" t="s">
        <v>440</v>
      </c>
      <c r="AF6" s="125">
        <v>22798</v>
      </c>
      <c r="AG6" s="115" t="s">
        <v>219</v>
      </c>
      <c r="AH6" s="115" t="s">
        <v>219</v>
      </c>
      <c r="AI6" s="125" t="s">
        <v>219</v>
      </c>
      <c r="AJ6" s="115" t="s">
        <v>219</v>
      </c>
      <c r="AK6" s="115" t="s">
        <v>219</v>
      </c>
      <c r="AL6" s="125" t="s">
        <v>219</v>
      </c>
      <c r="AM6" s="115" t="s">
        <v>219</v>
      </c>
      <c r="AN6" s="115" t="s">
        <v>219</v>
      </c>
      <c r="AO6" s="125" t="s">
        <v>219</v>
      </c>
    </row>
    <row r="7" spans="1:62">
      <c r="A7" s="76" t="s">
        <v>233</v>
      </c>
      <c r="B7" s="92" t="s">
        <v>436</v>
      </c>
      <c r="C7" s="111">
        <v>5</v>
      </c>
      <c r="D7" s="111"/>
      <c r="E7" s="135">
        <v>562</v>
      </c>
      <c r="F7" s="76" t="s">
        <v>234</v>
      </c>
      <c r="G7" s="136" t="s">
        <v>232</v>
      </c>
      <c r="H7" s="136" t="s">
        <v>232</v>
      </c>
      <c r="I7" s="76" t="s">
        <v>437</v>
      </c>
      <c r="J7" s="76" t="s">
        <v>441</v>
      </c>
      <c r="K7" s="76">
        <v>125</v>
      </c>
      <c r="L7" s="76">
        <v>1173.27</v>
      </c>
      <c r="M7" s="136" t="s">
        <v>200</v>
      </c>
      <c r="N7" s="137">
        <v>3.1642832499139402E-3</v>
      </c>
      <c r="O7" s="136" t="s">
        <v>192</v>
      </c>
      <c r="P7" s="136" t="s">
        <v>217</v>
      </c>
      <c r="Q7" s="136" t="s">
        <v>218</v>
      </c>
      <c r="R7" s="136" t="s">
        <v>219</v>
      </c>
      <c r="S7" s="135">
        <v>3</v>
      </c>
      <c r="T7" s="135">
        <v>3</v>
      </c>
      <c r="U7" s="140">
        <v>1001</v>
      </c>
      <c r="V7" s="136" t="s">
        <v>219</v>
      </c>
      <c r="W7" s="137">
        <v>3.1642832499139402E-3</v>
      </c>
      <c r="X7" s="137">
        <v>3.1642832499139402E-3</v>
      </c>
      <c r="Y7" s="139">
        <v>9.3861600000000003</v>
      </c>
      <c r="Z7" s="107">
        <v>2.9700468869012231E-2</v>
      </c>
      <c r="AA7" s="115" t="s">
        <v>442</v>
      </c>
      <c r="AB7" s="115" t="s">
        <v>443</v>
      </c>
      <c r="AC7" s="125">
        <v>39722</v>
      </c>
      <c r="AD7" s="115" t="s">
        <v>439</v>
      </c>
      <c r="AE7" s="115" t="s">
        <v>444</v>
      </c>
      <c r="AF7" s="125">
        <v>19937</v>
      </c>
      <c r="AG7" s="115" t="s">
        <v>219</v>
      </c>
      <c r="AH7" s="115" t="s">
        <v>219</v>
      </c>
      <c r="AI7" s="125" t="s">
        <v>219</v>
      </c>
      <c r="AJ7" s="115" t="s">
        <v>219</v>
      </c>
      <c r="AK7" s="115" t="s">
        <v>219</v>
      </c>
      <c r="AL7" s="125" t="s">
        <v>219</v>
      </c>
      <c r="AM7" s="115" t="s">
        <v>219</v>
      </c>
      <c r="AN7" s="115" t="s">
        <v>219</v>
      </c>
      <c r="AO7" s="125" t="s">
        <v>219</v>
      </c>
    </row>
    <row r="8" spans="1:62">
      <c r="A8" s="76" t="s">
        <v>235</v>
      </c>
      <c r="B8" s="92" t="s">
        <v>436</v>
      </c>
      <c r="C8" s="111">
        <v>6</v>
      </c>
      <c r="D8" s="111"/>
      <c r="E8" s="135">
        <v>617</v>
      </c>
      <c r="F8" s="76" t="s">
        <v>212</v>
      </c>
      <c r="G8" s="136" t="s">
        <v>236</v>
      </c>
      <c r="H8" s="136" t="s">
        <v>237</v>
      </c>
      <c r="I8" s="76" t="s">
        <v>437</v>
      </c>
      <c r="J8" s="76" t="s">
        <v>441</v>
      </c>
      <c r="K8" s="76">
        <v>395</v>
      </c>
      <c r="L8" s="76">
        <v>4000</v>
      </c>
      <c r="M8" s="136" t="s">
        <v>200</v>
      </c>
      <c r="N8" s="137">
        <v>3.3333333333333335E-3</v>
      </c>
      <c r="O8" s="136" t="s">
        <v>192</v>
      </c>
      <c r="P8" s="136" t="s">
        <v>201</v>
      </c>
      <c r="Q8" s="136" t="s">
        <v>202</v>
      </c>
      <c r="R8" s="136" t="s">
        <v>238</v>
      </c>
      <c r="S8" s="135">
        <v>6</v>
      </c>
      <c r="T8" s="135">
        <v>6</v>
      </c>
      <c r="U8" s="138"/>
      <c r="V8" s="136" t="s">
        <v>219</v>
      </c>
      <c r="W8" s="141">
        <v>3.3333333333333335E-3</v>
      </c>
      <c r="X8" s="137">
        <v>3.3333333333333335E-3</v>
      </c>
      <c r="Y8" s="139">
        <v>10.126582278481013</v>
      </c>
      <c r="Z8" s="107">
        <v>3.375527426160338E-2</v>
      </c>
      <c r="AA8" s="115" t="s">
        <v>439</v>
      </c>
      <c r="AB8" s="115" t="s">
        <v>440</v>
      </c>
      <c r="AC8" s="125">
        <v>39203</v>
      </c>
      <c r="AD8" s="115" t="s">
        <v>219</v>
      </c>
      <c r="AE8" s="115" t="s">
        <v>219</v>
      </c>
      <c r="AF8" s="125" t="s">
        <v>219</v>
      </c>
      <c r="AG8" s="115" t="s">
        <v>219</v>
      </c>
      <c r="AH8" s="115" t="s">
        <v>219</v>
      </c>
      <c r="AI8" s="125" t="s">
        <v>219</v>
      </c>
      <c r="AJ8" s="115" t="s">
        <v>219</v>
      </c>
      <c r="AK8" s="115" t="s">
        <v>219</v>
      </c>
      <c r="AL8" s="125" t="s">
        <v>219</v>
      </c>
      <c r="AM8" s="115" t="s">
        <v>219</v>
      </c>
      <c r="AN8" s="115" t="s">
        <v>219</v>
      </c>
      <c r="AO8" s="125" t="s">
        <v>219</v>
      </c>
    </row>
    <row r="9" spans="1:62">
      <c r="A9" s="76" t="s">
        <v>241</v>
      </c>
      <c r="B9" s="92" t="s">
        <v>436</v>
      </c>
      <c r="C9" s="92">
        <v>7</v>
      </c>
      <c r="D9" s="111"/>
      <c r="E9" s="135">
        <v>617</v>
      </c>
      <c r="F9" s="76" t="s">
        <v>212</v>
      </c>
      <c r="G9" s="136" t="s">
        <v>242</v>
      </c>
      <c r="H9" s="136" t="s">
        <v>243</v>
      </c>
      <c r="I9" s="76" t="s">
        <v>437</v>
      </c>
      <c r="J9" s="76" t="s">
        <v>441</v>
      </c>
      <c r="K9" s="76">
        <v>226</v>
      </c>
      <c r="L9" s="76">
        <v>2300</v>
      </c>
      <c r="M9" s="136" t="s">
        <v>200</v>
      </c>
      <c r="N9" s="137">
        <v>7.1666666666666658E-3</v>
      </c>
      <c r="O9" s="136" t="s">
        <v>192</v>
      </c>
      <c r="P9" s="136" t="s">
        <v>201</v>
      </c>
      <c r="Q9" s="136" t="s">
        <v>202</v>
      </c>
      <c r="R9" s="136" t="s">
        <v>244</v>
      </c>
      <c r="S9" s="135">
        <v>6</v>
      </c>
      <c r="T9" s="135">
        <v>6</v>
      </c>
      <c r="U9" s="138"/>
      <c r="V9" s="136" t="s">
        <v>219</v>
      </c>
      <c r="W9" s="137">
        <v>7.1666666666666658E-3</v>
      </c>
      <c r="X9" s="137">
        <v>7.1666666666666658E-3</v>
      </c>
      <c r="Y9" s="139">
        <v>10.176991150442477</v>
      </c>
      <c r="Z9" s="107">
        <v>7.2935103244837748E-2</v>
      </c>
      <c r="AA9" s="115" t="s">
        <v>439</v>
      </c>
      <c r="AB9" s="115" t="s">
        <v>440</v>
      </c>
      <c r="AC9" s="125">
        <v>38504</v>
      </c>
      <c r="AD9" s="115" t="s">
        <v>219</v>
      </c>
      <c r="AE9" s="115" t="s">
        <v>219</v>
      </c>
      <c r="AF9" s="125" t="s">
        <v>219</v>
      </c>
      <c r="AG9" s="115" t="s">
        <v>219</v>
      </c>
      <c r="AH9" s="115" t="s">
        <v>219</v>
      </c>
      <c r="AI9" s="125" t="s">
        <v>219</v>
      </c>
      <c r="AJ9" s="115" t="s">
        <v>219</v>
      </c>
      <c r="AK9" s="115" t="s">
        <v>219</v>
      </c>
      <c r="AL9" s="125" t="s">
        <v>219</v>
      </c>
      <c r="AM9" s="115" t="s">
        <v>219</v>
      </c>
      <c r="AN9" s="115" t="s">
        <v>219</v>
      </c>
      <c r="AO9" s="125" t="s">
        <v>219</v>
      </c>
    </row>
    <row r="10" spans="1:62">
      <c r="A10" s="76" t="s">
        <v>248</v>
      </c>
      <c r="B10" s="92" t="s">
        <v>436</v>
      </c>
      <c r="C10" s="92">
        <v>8</v>
      </c>
      <c r="D10" s="111"/>
      <c r="E10" s="135">
        <v>2493</v>
      </c>
      <c r="F10" s="76" t="s">
        <v>249</v>
      </c>
      <c r="G10" s="136" t="s">
        <v>250</v>
      </c>
      <c r="H10" s="136" t="s">
        <v>250</v>
      </c>
      <c r="I10" s="76" t="s">
        <v>437</v>
      </c>
      <c r="J10" s="76" t="s">
        <v>445</v>
      </c>
      <c r="K10" s="76">
        <v>129.4</v>
      </c>
      <c r="L10" s="76">
        <v>1930</v>
      </c>
      <c r="M10" s="136" t="s">
        <v>200</v>
      </c>
      <c r="N10" s="137">
        <v>6.1540980268117206E-3</v>
      </c>
      <c r="O10" s="136" t="s">
        <v>192</v>
      </c>
      <c r="P10" s="136" t="s">
        <v>217</v>
      </c>
      <c r="Q10" s="136" t="s">
        <v>218</v>
      </c>
      <c r="R10" s="136" t="s">
        <v>219</v>
      </c>
      <c r="S10" s="135">
        <v>3</v>
      </c>
      <c r="T10" s="135">
        <v>3</v>
      </c>
      <c r="U10" s="140">
        <v>1259</v>
      </c>
      <c r="V10" s="136" t="s">
        <v>219</v>
      </c>
      <c r="W10" s="141">
        <v>6.1540980268117206E-3</v>
      </c>
      <c r="X10" s="137">
        <v>6.1540980268117206E-3</v>
      </c>
      <c r="Y10" s="139">
        <v>14.91499227202473</v>
      </c>
      <c r="Z10" s="107">
        <v>9.178832451117945E-2</v>
      </c>
      <c r="AA10" s="115" t="s">
        <v>219</v>
      </c>
      <c r="AB10" s="115" t="s">
        <v>219</v>
      </c>
      <c r="AC10" s="125" t="s">
        <v>219</v>
      </c>
      <c r="AD10" s="115" t="s">
        <v>219</v>
      </c>
      <c r="AE10" s="115" t="s">
        <v>219</v>
      </c>
      <c r="AF10" s="125" t="s">
        <v>219</v>
      </c>
      <c r="AG10" s="115" t="s">
        <v>219</v>
      </c>
      <c r="AH10" s="115" t="s">
        <v>219</v>
      </c>
      <c r="AI10" s="125" t="s">
        <v>219</v>
      </c>
      <c r="AJ10" s="115" t="s">
        <v>219</v>
      </c>
      <c r="AK10" s="115" t="s">
        <v>219</v>
      </c>
      <c r="AL10" s="125" t="s">
        <v>219</v>
      </c>
      <c r="AM10" s="115" t="s">
        <v>219</v>
      </c>
      <c r="AN10" s="115" t="s">
        <v>219</v>
      </c>
      <c r="AO10" s="125" t="s">
        <v>219</v>
      </c>
    </row>
    <row r="11" spans="1:62">
      <c r="A11" s="76" t="s">
        <v>252</v>
      </c>
      <c r="B11" s="92" t="s">
        <v>436</v>
      </c>
      <c r="C11" s="111">
        <v>9</v>
      </c>
      <c r="D11" s="111"/>
      <c r="E11" s="135">
        <v>8906</v>
      </c>
      <c r="F11" s="76" t="s">
        <v>253</v>
      </c>
      <c r="G11" s="136" t="s">
        <v>254</v>
      </c>
      <c r="H11" s="136" t="s">
        <v>255</v>
      </c>
      <c r="I11" s="76" t="s">
        <v>437</v>
      </c>
      <c r="J11" s="76" t="s">
        <v>438</v>
      </c>
      <c r="K11" s="76">
        <v>388.25</v>
      </c>
      <c r="L11" s="76">
        <v>4074</v>
      </c>
      <c r="M11" s="136" t="s">
        <v>200</v>
      </c>
      <c r="N11" s="137">
        <v>1.3409753982590209E-2</v>
      </c>
      <c r="O11" s="136" t="s">
        <v>192</v>
      </c>
      <c r="P11" s="136" t="s">
        <v>217</v>
      </c>
      <c r="Q11" s="136" t="s">
        <v>218</v>
      </c>
      <c r="R11" s="136" t="s">
        <v>219</v>
      </c>
      <c r="S11" s="135">
        <v>3</v>
      </c>
      <c r="T11" s="135">
        <v>3</v>
      </c>
      <c r="U11" s="140">
        <v>2004</v>
      </c>
      <c r="V11" s="136" t="s">
        <v>219</v>
      </c>
      <c r="W11" s="137">
        <v>1.3409753982590209E-2</v>
      </c>
      <c r="X11" s="137">
        <v>1.3409753982590209E-2</v>
      </c>
      <c r="Y11" s="139">
        <v>10.493238892466195</v>
      </c>
      <c r="Z11" s="107">
        <v>0.14071175202851904</v>
      </c>
      <c r="AA11" s="115" t="s">
        <v>219</v>
      </c>
      <c r="AB11" s="115" t="s">
        <v>219</v>
      </c>
      <c r="AC11" s="125" t="s">
        <v>219</v>
      </c>
      <c r="AD11" s="115" t="s">
        <v>219</v>
      </c>
      <c r="AE11" s="115" t="s">
        <v>219</v>
      </c>
      <c r="AF11" s="125" t="s">
        <v>219</v>
      </c>
      <c r="AG11" s="115" t="s">
        <v>219</v>
      </c>
      <c r="AH11" s="115" t="s">
        <v>219</v>
      </c>
      <c r="AI11" s="125" t="s">
        <v>219</v>
      </c>
      <c r="AJ11" s="115" t="s">
        <v>219</v>
      </c>
      <c r="AK11" s="115" t="s">
        <v>219</v>
      </c>
      <c r="AL11" s="125" t="s">
        <v>219</v>
      </c>
      <c r="AM11" s="115" t="s">
        <v>219</v>
      </c>
      <c r="AN11" s="115" t="s">
        <v>219</v>
      </c>
      <c r="AO11" s="125" t="s">
        <v>219</v>
      </c>
    </row>
    <row r="12" spans="1:62">
      <c r="A12" s="76" t="s">
        <v>257</v>
      </c>
      <c r="B12" s="92" t="s">
        <v>436</v>
      </c>
      <c r="C12" s="111">
        <v>10</v>
      </c>
      <c r="D12" s="111"/>
      <c r="E12" s="135">
        <v>621</v>
      </c>
      <c r="F12" s="76" t="s">
        <v>258</v>
      </c>
      <c r="G12" s="136" t="s">
        <v>259</v>
      </c>
      <c r="H12" s="136" t="s">
        <v>260</v>
      </c>
      <c r="I12" s="76" t="s">
        <v>437</v>
      </c>
      <c r="J12" s="76" t="s">
        <v>441</v>
      </c>
      <c r="K12" s="76">
        <v>421</v>
      </c>
      <c r="L12" s="76">
        <v>4000</v>
      </c>
      <c r="M12" s="136" t="s">
        <v>200</v>
      </c>
      <c r="N12" s="137">
        <v>1.7833333333333336E-2</v>
      </c>
      <c r="O12" s="136" t="s">
        <v>192</v>
      </c>
      <c r="P12" s="136" t="s">
        <v>201</v>
      </c>
      <c r="Q12" s="136" t="s">
        <v>202</v>
      </c>
      <c r="R12" s="136" t="s">
        <v>261</v>
      </c>
      <c r="S12" s="135">
        <v>6</v>
      </c>
      <c r="T12" s="135">
        <v>6</v>
      </c>
      <c r="U12" s="138"/>
      <c r="V12" s="136" t="s">
        <v>219</v>
      </c>
      <c r="W12" s="137">
        <v>1.7833333333333336E-2</v>
      </c>
      <c r="X12" s="137">
        <v>1.7833333333333336E-2</v>
      </c>
      <c r="Y12" s="139">
        <v>9.5011876484560567</v>
      </c>
      <c r="Z12" s="107">
        <v>0.16943784639746637</v>
      </c>
      <c r="AA12" s="115" t="s">
        <v>439</v>
      </c>
      <c r="AB12" s="115" t="s">
        <v>446</v>
      </c>
      <c r="AC12" s="125">
        <v>24563</v>
      </c>
      <c r="AD12" s="115" t="s">
        <v>219</v>
      </c>
      <c r="AE12" s="115" t="s">
        <v>219</v>
      </c>
      <c r="AF12" s="125" t="s">
        <v>219</v>
      </c>
      <c r="AG12" s="115" t="s">
        <v>219</v>
      </c>
      <c r="AH12" s="115" t="s">
        <v>219</v>
      </c>
      <c r="AI12" s="125" t="s">
        <v>219</v>
      </c>
      <c r="AJ12" s="115" t="s">
        <v>219</v>
      </c>
      <c r="AK12" s="115" t="s">
        <v>219</v>
      </c>
      <c r="AL12" s="125" t="s">
        <v>219</v>
      </c>
      <c r="AM12" s="115" t="s">
        <v>219</v>
      </c>
      <c r="AN12" s="115" t="s">
        <v>219</v>
      </c>
      <c r="AO12" s="125" t="s">
        <v>219</v>
      </c>
    </row>
    <row r="13" spans="1:62">
      <c r="A13" s="76" t="s">
        <v>266</v>
      </c>
      <c r="B13" s="92" t="s">
        <v>436</v>
      </c>
      <c r="C13" s="92">
        <v>11</v>
      </c>
      <c r="D13" s="111"/>
      <c r="E13" s="135">
        <v>2516</v>
      </c>
      <c r="F13" s="76" t="s">
        <v>267</v>
      </c>
      <c r="G13" s="136" t="s">
        <v>268</v>
      </c>
      <c r="H13" s="136" t="s">
        <v>269</v>
      </c>
      <c r="I13" s="76" t="s">
        <v>437</v>
      </c>
      <c r="J13" s="76" t="s">
        <v>438</v>
      </c>
      <c r="K13" s="76">
        <v>375</v>
      </c>
      <c r="L13" s="76">
        <v>3650</v>
      </c>
      <c r="M13" s="136" t="s">
        <v>200</v>
      </c>
      <c r="N13" s="137">
        <v>1.8416267145662645E-2</v>
      </c>
      <c r="O13" s="136" t="s">
        <v>192</v>
      </c>
      <c r="P13" s="136" t="s">
        <v>217</v>
      </c>
      <c r="Q13" s="136" t="s">
        <v>218</v>
      </c>
      <c r="R13" s="136" t="s">
        <v>219</v>
      </c>
      <c r="S13" s="135">
        <v>6</v>
      </c>
      <c r="T13" s="135">
        <v>6</v>
      </c>
      <c r="U13" s="140">
        <v>1947</v>
      </c>
      <c r="V13" s="136" t="s">
        <v>219</v>
      </c>
      <c r="W13" s="137">
        <v>1.8416267145662645E-2</v>
      </c>
      <c r="X13" s="137">
        <v>1.8416267145662645E-2</v>
      </c>
      <c r="Y13" s="139">
        <v>9.7333333333333325</v>
      </c>
      <c r="Z13" s="107">
        <v>0.17925166688444974</v>
      </c>
      <c r="AA13" s="115" t="s">
        <v>439</v>
      </c>
      <c r="AB13" s="115" t="s">
        <v>440</v>
      </c>
      <c r="AC13" s="125">
        <v>26451</v>
      </c>
      <c r="AD13" s="115" t="s">
        <v>219</v>
      </c>
      <c r="AE13" s="115" t="s">
        <v>219</v>
      </c>
      <c r="AF13" s="125" t="s">
        <v>219</v>
      </c>
      <c r="AG13" s="115" t="s">
        <v>219</v>
      </c>
      <c r="AH13" s="115" t="s">
        <v>219</v>
      </c>
      <c r="AI13" s="125" t="s">
        <v>219</v>
      </c>
      <c r="AJ13" s="115" t="s">
        <v>219</v>
      </c>
      <c r="AK13" s="115" t="s">
        <v>219</v>
      </c>
      <c r="AL13" s="125" t="s">
        <v>219</v>
      </c>
      <c r="AM13" s="115" t="s">
        <v>219</v>
      </c>
      <c r="AN13" s="115" t="s">
        <v>219</v>
      </c>
      <c r="AO13" s="125" t="s">
        <v>219</v>
      </c>
    </row>
    <row r="14" spans="1:62">
      <c r="A14" s="76" t="s">
        <v>270</v>
      </c>
      <c r="B14" s="92" t="s">
        <v>436</v>
      </c>
      <c r="C14" s="92">
        <v>12</v>
      </c>
      <c r="D14" s="111"/>
      <c r="E14" s="135">
        <v>621</v>
      </c>
      <c r="F14" s="76" t="s">
        <v>258</v>
      </c>
      <c r="G14" s="136" t="s">
        <v>271</v>
      </c>
      <c r="H14" s="136" t="s">
        <v>272</v>
      </c>
      <c r="I14" s="76" t="s">
        <v>437</v>
      </c>
      <c r="J14" s="76" t="s">
        <v>441</v>
      </c>
      <c r="K14" s="76">
        <v>407</v>
      </c>
      <c r="L14" s="76">
        <v>4000</v>
      </c>
      <c r="M14" s="136" t="s">
        <v>200</v>
      </c>
      <c r="N14" s="137">
        <v>1.8666666666666668E-2</v>
      </c>
      <c r="O14" s="136" t="s">
        <v>192</v>
      </c>
      <c r="P14" s="136" t="s">
        <v>201</v>
      </c>
      <c r="Q14" s="136" t="s">
        <v>202</v>
      </c>
      <c r="R14" s="136" t="s">
        <v>273</v>
      </c>
      <c r="S14" s="135">
        <v>6</v>
      </c>
      <c r="T14" s="135">
        <v>6</v>
      </c>
      <c r="U14" s="138"/>
      <c r="V14" s="136" t="s">
        <v>219</v>
      </c>
      <c r="W14" s="137">
        <v>1.8666666666666668E-2</v>
      </c>
      <c r="X14" s="137">
        <v>1.8666666666666668E-2</v>
      </c>
      <c r="Y14" s="139">
        <v>9.8280098280098276</v>
      </c>
      <c r="Z14" s="107">
        <v>0.18345618345618347</v>
      </c>
      <c r="AA14" s="115" t="s">
        <v>439</v>
      </c>
      <c r="AB14" s="115" t="s">
        <v>446</v>
      </c>
      <c r="AC14" s="125">
        <v>24929</v>
      </c>
      <c r="AD14" s="115" t="s">
        <v>219</v>
      </c>
      <c r="AE14" s="115" t="s">
        <v>219</v>
      </c>
      <c r="AF14" s="125" t="s">
        <v>219</v>
      </c>
      <c r="AG14" s="115" t="s">
        <v>219</v>
      </c>
      <c r="AH14" s="115" t="s">
        <v>219</v>
      </c>
      <c r="AI14" s="125" t="s">
        <v>219</v>
      </c>
      <c r="AJ14" s="115" t="s">
        <v>219</v>
      </c>
      <c r="AK14" s="115" t="s">
        <v>219</v>
      </c>
      <c r="AL14" s="125" t="s">
        <v>219</v>
      </c>
      <c r="AM14" s="115" t="s">
        <v>219</v>
      </c>
      <c r="AN14" s="115" t="s">
        <v>219</v>
      </c>
      <c r="AO14" s="125" t="s">
        <v>219</v>
      </c>
    </row>
    <row r="15" spans="1:62">
      <c r="A15" s="76" t="s">
        <v>278</v>
      </c>
      <c r="B15" s="92" t="s">
        <v>436</v>
      </c>
      <c r="C15" s="111">
        <v>13</v>
      </c>
      <c r="D15" s="111"/>
      <c r="E15" s="135">
        <v>6043</v>
      </c>
      <c r="F15" s="76" t="s">
        <v>279</v>
      </c>
      <c r="G15" s="136" t="s">
        <v>280</v>
      </c>
      <c r="H15" s="136" t="s">
        <v>281</v>
      </c>
      <c r="I15" s="76" t="s">
        <v>437</v>
      </c>
      <c r="J15" s="76" t="s">
        <v>441</v>
      </c>
      <c r="K15" s="76">
        <v>859</v>
      </c>
      <c r="L15" s="76">
        <v>9040</v>
      </c>
      <c r="M15" s="136" t="s">
        <v>200</v>
      </c>
      <c r="N15" s="137">
        <v>1.7999999999999999E-2</v>
      </c>
      <c r="O15" s="136" t="s">
        <v>192</v>
      </c>
      <c r="P15" s="136" t="s">
        <v>201</v>
      </c>
      <c r="Q15" s="136" t="s">
        <v>202</v>
      </c>
      <c r="R15" s="136" t="s">
        <v>282</v>
      </c>
      <c r="S15" s="135">
        <v>3</v>
      </c>
      <c r="T15" s="135">
        <v>3</v>
      </c>
      <c r="U15" s="138"/>
      <c r="V15" s="136" t="s">
        <v>219</v>
      </c>
      <c r="W15" s="137">
        <v>1.7999999999999999E-2</v>
      </c>
      <c r="X15" s="137">
        <v>1.7999999999999999E-2</v>
      </c>
      <c r="Y15" s="139">
        <v>10.523864959254947</v>
      </c>
      <c r="Z15" s="107">
        <v>0.18942956926658902</v>
      </c>
      <c r="AA15" s="115" t="s">
        <v>439</v>
      </c>
      <c r="AB15" s="115" t="s">
        <v>446</v>
      </c>
      <c r="AC15" s="125">
        <v>29738</v>
      </c>
      <c r="AD15" s="115" t="s">
        <v>219</v>
      </c>
      <c r="AE15" s="115" t="s">
        <v>219</v>
      </c>
      <c r="AF15" s="125" t="s">
        <v>219</v>
      </c>
      <c r="AG15" s="115" t="s">
        <v>219</v>
      </c>
      <c r="AH15" s="115" t="s">
        <v>219</v>
      </c>
      <c r="AI15" s="125" t="s">
        <v>219</v>
      </c>
      <c r="AJ15" s="115" t="s">
        <v>219</v>
      </c>
      <c r="AK15" s="115" t="s">
        <v>219</v>
      </c>
      <c r="AL15" s="125" t="s">
        <v>219</v>
      </c>
      <c r="AM15" s="115" t="s">
        <v>219</v>
      </c>
      <c r="AN15" s="115" t="s">
        <v>219</v>
      </c>
      <c r="AO15" s="125" t="s">
        <v>219</v>
      </c>
    </row>
    <row r="16" spans="1:62">
      <c r="A16" s="76" t="s">
        <v>287</v>
      </c>
      <c r="B16" s="92" t="s">
        <v>436</v>
      </c>
      <c r="C16" s="111">
        <v>14</v>
      </c>
      <c r="D16" s="111"/>
      <c r="E16" s="135">
        <v>609</v>
      </c>
      <c r="F16" s="76" t="s">
        <v>288</v>
      </c>
      <c r="G16" s="136" t="s">
        <v>289</v>
      </c>
      <c r="H16" s="136" t="s">
        <v>290</v>
      </c>
      <c r="I16" s="76" t="s">
        <v>437</v>
      </c>
      <c r="J16" s="76" t="s">
        <v>441</v>
      </c>
      <c r="K16" s="76">
        <v>397</v>
      </c>
      <c r="L16" s="76">
        <v>4000</v>
      </c>
      <c r="M16" s="136" t="s">
        <v>200</v>
      </c>
      <c r="N16" s="137">
        <v>2.2833333333333334E-2</v>
      </c>
      <c r="O16" s="136" t="s">
        <v>192</v>
      </c>
      <c r="P16" s="136" t="s">
        <v>201</v>
      </c>
      <c r="Q16" s="136" t="s">
        <v>202</v>
      </c>
      <c r="R16" s="136" t="s">
        <v>291</v>
      </c>
      <c r="S16" s="135">
        <v>6</v>
      </c>
      <c r="T16" s="135">
        <v>6</v>
      </c>
      <c r="U16" s="138"/>
      <c r="V16" s="136" t="s">
        <v>219</v>
      </c>
      <c r="W16" s="137">
        <v>2.2833333333333334E-2</v>
      </c>
      <c r="X16" s="137">
        <v>2.2833333333333334E-2</v>
      </c>
      <c r="Y16" s="139">
        <v>10.075566750629722</v>
      </c>
      <c r="Z16" s="107">
        <v>0.23005877413937867</v>
      </c>
      <c r="AA16" s="115" t="s">
        <v>439</v>
      </c>
      <c r="AB16" s="115" t="s">
        <v>446</v>
      </c>
      <c r="AC16" s="125">
        <v>23833</v>
      </c>
      <c r="AD16" s="115" t="s">
        <v>219</v>
      </c>
      <c r="AE16" s="115" t="s">
        <v>219</v>
      </c>
      <c r="AF16" s="125" t="s">
        <v>219</v>
      </c>
      <c r="AG16" s="115" t="s">
        <v>219</v>
      </c>
      <c r="AH16" s="115" t="s">
        <v>219</v>
      </c>
      <c r="AI16" s="125" t="s">
        <v>219</v>
      </c>
      <c r="AJ16" s="115" t="s">
        <v>219</v>
      </c>
      <c r="AK16" s="115" t="s">
        <v>219</v>
      </c>
      <c r="AL16" s="125" t="s">
        <v>219</v>
      </c>
      <c r="AM16" s="115" t="s">
        <v>219</v>
      </c>
      <c r="AN16" s="115" t="s">
        <v>219</v>
      </c>
      <c r="AO16" s="125" t="s">
        <v>219</v>
      </c>
    </row>
    <row r="17" spans="1:41">
      <c r="A17" s="76" t="s">
        <v>296</v>
      </c>
      <c r="B17" s="92" t="s">
        <v>436</v>
      </c>
      <c r="C17" s="92">
        <v>15</v>
      </c>
      <c r="D17" s="111"/>
      <c r="E17" s="135">
        <v>6042</v>
      </c>
      <c r="F17" s="76" t="s">
        <v>297</v>
      </c>
      <c r="G17" s="136" t="s">
        <v>298</v>
      </c>
      <c r="H17" s="136" t="s">
        <v>299</v>
      </c>
      <c r="I17" s="76" t="s">
        <v>437</v>
      </c>
      <c r="J17" s="76" t="s">
        <v>441</v>
      </c>
      <c r="K17" s="76">
        <v>854</v>
      </c>
      <c r="L17" s="76">
        <v>8650</v>
      </c>
      <c r="M17" s="136" t="s">
        <v>200</v>
      </c>
      <c r="N17" s="137">
        <v>2.2974914703364754E-2</v>
      </c>
      <c r="O17" s="136" t="s">
        <v>192</v>
      </c>
      <c r="P17" s="136" t="s">
        <v>217</v>
      </c>
      <c r="Q17" s="136" t="s">
        <v>218</v>
      </c>
      <c r="R17" s="136" t="s">
        <v>219</v>
      </c>
      <c r="S17" s="135">
        <v>6</v>
      </c>
      <c r="T17" s="135">
        <v>6</v>
      </c>
      <c r="U17" s="140">
        <v>2292</v>
      </c>
      <c r="V17" s="136" t="s">
        <v>219</v>
      </c>
      <c r="W17" s="137">
        <v>2.2974914703364754E-2</v>
      </c>
      <c r="X17" s="137">
        <v>2.2974914703364754E-2</v>
      </c>
      <c r="Y17" s="139">
        <v>10.128805620608899</v>
      </c>
      <c r="Z17" s="107">
        <v>0.23270844518045097</v>
      </c>
      <c r="AA17" s="115" t="s">
        <v>439</v>
      </c>
      <c r="AB17" s="115" t="s">
        <v>446</v>
      </c>
      <c r="AC17" s="125">
        <v>28430</v>
      </c>
      <c r="AD17" s="115" t="s">
        <v>219</v>
      </c>
      <c r="AE17" s="115" t="s">
        <v>219</v>
      </c>
      <c r="AF17" s="125" t="s">
        <v>219</v>
      </c>
      <c r="AG17" s="115" t="s">
        <v>219</v>
      </c>
      <c r="AH17" s="115" t="s">
        <v>219</v>
      </c>
      <c r="AI17" s="125" t="s">
        <v>219</v>
      </c>
      <c r="AJ17" s="115" t="s">
        <v>219</v>
      </c>
      <c r="AK17" s="115" t="s">
        <v>219</v>
      </c>
      <c r="AL17" s="125" t="s">
        <v>219</v>
      </c>
      <c r="AM17" s="115" t="s">
        <v>219</v>
      </c>
      <c r="AN17" s="115" t="s">
        <v>219</v>
      </c>
      <c r="AO17" s="125" t="s">
        <v>219</v>
      </c>
    </row>
    <row r="18" spans="1:41">
      <c r="A18" s="76" t="s">
        <v>305</v>
      </c>
      <c r="B18" s="92" t="s">
        <v>436</v>
      </c>
      <c r="C18" s="92">
        <v>16</v>
      </c>
      <c r="D18" s="111"/>
      <c r="E18" s="135">
        <v>2493</v>
      </c>
      <c r="F18" s="76" t="s">
        <v>249</v>
      </c>
      <c r="G18" s="136" t="s">
        <v>306</v>
      </c>
      <c r="H18" s="136" t="s">
        <v>306</v>
      </c>
      <c r="I18" s="76" t="s">
        <v>437</v>
      </c>
      <c r="J18" s="76" t="s">
        <v>441</v>
      </c>
      <c r="K18" s="76">
        <v>198</v>
      </c>
      <c r="L18" s="76">
        <v>1982</v>
      </c>
      <c r="M18" s="136" t="s">
        <v>200</v>
      </c>
      <c r="N18" s="137">
        <v>2.4E-2</v>
      </c>
      <c r="O18" s="136" t="s">
        <v>192</v>
      </c>
      <c r="P18" s="136" t="s">
        <v>201</v>
      </c>
      <c r="Q18" s="136" t="s">
        <v>202</v>
      </c>
      <c r="R18" s="136" t="s">
        <v>307</v>
      </c>
      <c r="S18" s="135">
        <v>1</v>
      </c>
      <c r="T18" s="135">
        <v>0</v>
      </c>
      <c r="U18" s="138"/>
      <c r="V18" s="136" t="s">
        <v>219</v>
      </c>
      <c r="W18" s="142"/>
      <c r="X18" s="137">
        <v>2.4E-2</v>
      </c>
      <c r="Y18" s="139">
        <v>10.01010101010101</v>
      </c>
      <c r="Z18" s="107">
        <v>0.24024242424242426</v>
      </c>
      <c r="AA18" s="115" t="s">
        <v>219</v>
      </c>
      <c r="AB18" s="115" t="s">
        <v>219</v>
      </c>
      <c r="AC18" s="125" t="s">
        <v>219</v>
      </c>
      <c r="AD18" s="115" t="s">
        <v>219</v>
      </c>
      <c r="AE18" s="115" t="s">
        <v>219</v>
      </c>
      <c r="AF18" s="125" t="s">
        <v>219</v>
      </c>
      <c r="AG18" s="115" t="s">
        <v>219</v>
      </c>
      <c r="AH18" s="115" t="s">
        <v>219</v>
      </c>
      <c r="AI18" s="125" t="s">
        <v>219</v>
      </c>
      <c r="AJ18" s="115" t="s">
        <v>219</v>
      </c>
      <c r="AK18" s="115" t="s">
        <v>219</v>
      </c>
      <c r="AL18" s="125" t="s">
        <v>219</v>
      </c>
      <c r="AM18" s="115" t="s">
        <v>219</v>
      </c>
      <c r="AN18" s="115" t="s">
        <v>219</v>
      </c>
      <c r="AO18" s="125" t="s">
        <v>219</v>
      </c>
    </row>
    <row r="19" spans="1:41">
      <c r="A19" s="76" t="s">
        <v>308</v>
      </c>
      <c r="B19" s="92" t="s">
        <v>436</v>
      </c>
      <c r="C19" s="111">
        <v>17</v>
      </c>
      <c r="D19" s="111"/>
      <c r="E19" s="135">
        <v>667</v>
      </c>
      <c r="F19" s="76" t="s">
        <v>309</v>
      </c>
      <c r="G19" s="136" t="s">
        <v>268</v>
      </c>
      <c r="H19" s="136" t="s">
        <v>268</v>
      </c>
      <c r="I19" s="76" t="s">
        <v>437</v>
      </c>
      <c r="J19" s="76" t="s">
        <v>441</v>
      </c>
      <c r="K19" s="76">
        <v>538</v>
      </c>
      <c r="L19" s="76">
        <v>4857</v>
      </c>
      <c r="M19" s="136" t="s">
        <v>200</v>
      </c>
      <c r="N19" s="137">
        <v>2.7266666666666665E-2</v>
      </c>
      <c r="O19" s="136" t="s">
        <v>192</v>
      </c>
      <c r="P19" s="136" t="s">
        <v>201</v>
      </c>
      <c r="Q19" s="136" t="s">
        <v>202</v>
      </c>
      <c r="R19" s="136" t="s">
        <v>310</v>
      </c>
      <c r="S19" s="135">
        <v>3</v>
      </c>
      <c r="T19" s="135">
        <v>3</v>
      </c>
      <c r="U19" s="138"/>
      <c r="V19" s="136" t="s">
        <v>219</v>
      </c>
      <c r="W19" s="141">
        <v>2.7266666666666665E-2</v>
      </c>
      <c r="X19" s="137">
        <v>2.7266666666666665E-2</v>
      </c>
      <c r="Y19" s="139">
        <v>9.0278810408921935</v>
      </c>
      <c r="Z19" s="107">
        <v>0.24616022304832713</v>
      </c>
      <c r="AA19" s="115" t="s">
        <v>219</v>
      </c>
      <c r="AB19" s="115" t="s">
        <v>219</v>
      </c>
      <c r="AC19" s="125" t="s">
        <v>219</v>
      </c>
      <c r="AD19" s="115" t="s">
        <v>219</v>
      </c>
      <c r="AE19" s="115" t="s">
        <v>219</v>
      </c>
      <c r="AF19" s="125" t="s">
        <v>219</v>
      </c>
      <c r="AG19" s="115" t="s">
        <v>219</v>
      </c>
      <c r="AH19" s="115" t="s">
        <v>219</v>
      </c>
      <c r="AI19" s="125" t="s">
        <v>219</v>
      </c>
      <c r="AJ19" s="115" t="s">
        <v>219</v>
      </c>
      <c r="AK19" s="115" t="s">
        <v>219</v>
      </c>
      <c r="AL19" s="125" t="s">
        <v>219</v>
      </c>
      <c r="AM19" s="115" t="s">
        <v>219</v>
      </c>
      <c r="AN19" s="115" t="s">
        <v>219</v>
      </c>
      <c r="AO19" s="125" t="s">
        <v>219</v>
      </c>
    </row>
    <row r="20" spans="1:41">
      <c r="A20" s="76" t="s">
        <v>320</v>
      </c>
      <c r="B20" s="92" t="s">
        <v>436</v>
      </c>
      <c r="C20" s="111">
        <v>18</v>
      </c>
      <c r="D20" s="111"/>
      <c r="E20" s="135">
        <v>2516</v>
      </c>
      <c r="F20" s="76" t="s">
        <v>267</v>
      </c>
      <c r="G20" s="136" t="s">
        <v>232</v>
      </c>
      <c r="H20" s="136" t="s">
        <v>321</v>
      </c>
      <c r="I20" s="76" t="s">
        <v>437</v>
      </c>
      <c r="J20" s="76" t="s">
        <v>438</v>
      </c>
      <c r="K20" s="76">
        <v>375</v>
      </c>
      <c r="L20" s="76">
        <v>3650</v>
      </c>
      <c r="M20" s="136" t="s">
        <v>200</v>
      </c>
      <c r="N20" s="137">
        <v>2.6255603256551158E-2</v>
      </c>
      <c r="O20" s="136" t="s">
        <v>192</v>
      </c>
      <c r="P20" s="136" t="s">
        <v>217</v>
      </c>
      <c r="Q20" s="136" t="s">
        <v>218</v>
      </c>
      <c r="R20" s="136" t="s">
        <v>219</v>
      </c>
      <c r="S20" s="135">
        <v>6</v>
      </c>
      <c r="T20" s="135">
        <v>6</v>
      </c>
      <c r="U20" s="140">
        <v>2053</v>
      </c>
      <c r="V20" s="136" t="s">
        <v>219</v>
      </c>
      <c r="W20" s="141">
        <v>2.6255603256551158E-2</v>
      </c>
      <c r="X20" s="137">
        <v>2.6255603256551158E-2</v>
      </c>
      <c r="Y20" s="139">
        <v>9.7333333333333325</v>
      </c>
      <c r="Z20" s="107">
        <v>0.25555453836376457</v>
      </c>
      <c r="AA20" s="115" t="s">
        <v>439</v>
      </c>
      <c r="AB20" s="115" t="s">
        <v>440</v>
      </c>
      <c r="AC20" s="125">
        <v>27120</v>
      </c>
      <c r="AD20" s="115" t="s">
        <v>219</v>
      </c>
      <c r="AE20" s="115" t="s">
        <v>219</v>
      </c>
      <c r="AF20" s="125" t="s">
        <v>219</v>
      </c>
      <c r="AG20" s="115" t="s">
        <v>219</v>
      </c>
      <c r="AH20" s="115" t="s">
        <v>219</v>
      </c>
      <c r="AI20" s="125" t="s">
        <v>219</v>
      </c>
      <c r="AJ20" s="115" t="s">
        <v>219</v>
      </c>
      <c r="AK20" s="115" t="s">
        <v>219</v>
      </c>
      <c r="AL20" s="125" t="s">
        <v>219</v>
      </c>
      <c r="AM20" s="115" t="s">
        <v>219</v>
      </c>
      <c r="AN20" s="115" t="s">
        <v>219</v>
      </c>
      <c r="AO20" s="125" t="s">
        <v>219</v>
      </c>
    </row>
    <row r="21" spans="1:41">
      <c r="A21" s="76" t="s">
        <v>322</v>
      </c>
      <c r="B21" s="92" t="s">
        <v>436</v>
      </c>
      <c r="C21" s="92">
        <v>19</v>
      </c>
      <c r="D21" s="111"/>
      <c r="E21" s="135">
        <v>6043</v>
      </c>
      <c r="F21" s="76" t="s">
        <v>279</v>
      </c>
      <c r="G21" s="136" t="s">
        <v>323</v>
      </c>
      <c r="H21" s="136" t="s">
        <v>324</v>
      </c>
      <c r="I21" s="76" t="s">
        <v>437</v>
      </c>
      <c r="J21" s="76" t="s">
        <v>441</v>
      </c>
      <c r="K21" s="76">
        <v>859</v>
      </c>
      <c r="L21" s="76">
        <v>9040</v>
      </c>
      <c r="M21" s="136" t="s">
        <v>200</v>
      </c>
      <c r="N21" s="137">
        <v>2.4666666666666667E-2</v>
      </c>
      <c r="O21" s="136" t="s">
        <v>192</v>
      </c>
      <c r="P21" s="136" t="s">
        <v>201</v>
      </c>
      <c r="Q21" s="136" t="s">
        <v>202</v>
      </c>
      <c r="R21" s="136" t="s">
        <v>325</v>
      </c>
      <c r="S21" s="135">
        <v>3</v>
      </c>
      <c r="T21" s="135">
        <v>3</v>
      </c>
      <c r="U21" s="138"/>
      <c r="V21" s="136" t="s">
        <v>219</v>
      </c>
      <c r="W21" s="141">
        <v>2.4666666666666667E-2</v>
      </c>
      <c r="X21" s="137">
        <v>2.4666666666666667E-2</v>
      </c>
      <c r="Y21" s="139">
        <v>10.523864959254947</v>
      </c>
      <c r="Z21" s="107">
        <v>0.25958866899495536</v>
      </c>
      <c r="AA21" s="115" t="s">
        <v>439</v>
      </c>
      <c r="AB21" s="115" t="s">
        <v>446</v>
      </c>
      <c r="AC21" s="125">
        <v>29556</v>
      </c>
      <c r="AD21" s="115" t="s">
        <v>219</v>
      </c>
      <c r="AE21" s="115" t="s">
        <v>219</v>
      </c>
      <c r="AF21" s="125" t="s">
        <v>219</v>
      </c>
      <c r="AG21" s="115" t="s">
        <v>219</v>
      </c>
      <c r="AH21" s="115" t="s">
        <v>219</v>
      </c>
      <c r="AI21" s="125" t="s">
        <v>219</v>
      </c>
      <c r="AJ21" s="115" t="s">
        <v>219</v>
      </c>
      <c r="AK21" s="115" t="s">
        <v>219</v>
      </c>
      <c r="AL21" s="125" t="s">
        <v>219</v>
      </c>
      <c r="AM21" s="115" t="s">
        <v>219</v>
      </c>
      <c r="AN21" s="115" t="s">
        <v>219</v>
      </c>
      <c r="AO21" s="125" t="s">
        <v>219</v>
      </c>
    </row>
    <row r="22" spans="1:41">
      <c r="A22" s="76" t="s">
        <v>330</v>
      </c>
      <c r="B22" s="92" t="s">
        <v>436</v>
      </c>
      <c r="C22" s="92">
        <v>20</v>
      </c>
      <c r="D22" s="111"/>
      <c r="E22" s="135">
        <v>8906</v>
      </c>
      <c r="F22" s="76" t="s">
        <v>253</v>
      </c>
      <c r="G22" s="136" t="s">
        <v>331</v>
      </c>
      <c r="H22" s="136" t="s">
        <v>332</v>
      </c>
      <c r="I22" s="76" t="s">
        <v>437</v>
      </c>
      <c r="J22" s="76" t="s">
        <v>438</v>
      </c>
      <c r="K22" s="76">
        <v>386</v>
      </c>
      <c r="L22" s="76">
        <v>4094</v>
      </c>
      <c r="M22" s="136" t="s">
        <v>200</v>
      </c>
      <c r="N22" s="137">
        <v>2.5250000000000002E-2</v>
      </c>
      <c r="O22" s="136" t="s">
        <v>192</v>
      </c>
      <c r="P22" s="136" t="s">
        <v>201</v>
      </c>
      <c r="Q22" s="136" t="s">
        <v>202</v>
      </c>
      <c r="R22" s="136" t="s">
        <v>333</v>
      </c>
      <c r="S22" s="135">
        <v>4</v>
      </c>
      <c r="T22" s="135">
        <v>4</v>
      </c>
      <c r="U22" s="138"/>
      <c r="V22" s="136" t="s">
        <v>219</v>
      </c>
      <c r="W22" s="143"/>
      <c r="X22" s="137">
        <v>2.5250000000000002E-2</v>
      </c>
      <c r="Y22" s="139">
        <v>10.606217616580311</v>
      </c>
      <c r="Z22" s="107">
        <v>0.26780699481865289</v>
      </c>
      <c r="AA22" s="115" t="s">
        <v>219</v>
      </c>
      <c r="AB22" s="115" t="s">
        <v>219</v>
      </c>
      <c r="AC22" s="125" t="s">
        <v>219</v>
      </c>
      <c r="AD22" s="115" t="s">
        <v>219</v>
      </c>
      <c r="AE22" s="115" t="s">
        <v>219</v>
      </c>
      <c r="AF22" s="125" t="s">
        <v>219</v>
      </c>
      <c r="AG22" s="115" t="s">
        <v>219</v>
      </c>
      <c r="AH22" s="115" t="s">
        <v>219</v>
      </c>
      <c r="AI22" s="125" t="s">
        <v>219</v>
      </c>
      <c r="AJ22" s="115" t="s">
        <v>219</v>
      </c>
      <c r="AK22" s="115" t="s">
        <v>219</v>
      </c>
      <c r="AL22" s="125" t="s">
        <v>219</v>
      </c>
      <c r="AM22" s="115" t="s">
        <v>219</v>
      </c>
      <c r="AN22" s="115" t="s">
        <v>219</v>
      </c>
      <c r="AO22" s="125" t="s">
        <v>219</v>
      </c>
    </row>
    <row r="23" spans="1:41">
      <c r="A23" s="76" t="s">
        <v>334</v>
      </c>
      <c r="B23" s="92" t="s">
        <v>436</v>
      </c>
      <c r="C23" s="111">
        <v>21</v>
      </c>
      <c r="D23" s="111"/>
      <c r="E23" s="135">
        <v>8906</v>
      </c>
      <c r="F23" s="76" t="s">
        <v>253</v>
      </c>
      <c r="G23" s="136" t="s">
        <v>335</v>
      </c>
      <c r="H23" s="136" t="s">
        <v>336</v>
      </c>
      <c r="I23" s="76" t="s">
        <v>437</v>
      </c>
      <c r="J23" s="76" t="s">
        <v>441</v>
      </c>
      <c r="K23" s="76">
        <v>383.5</v>
      </c>
      <c r="L23" s="76">
        <v>3984</v>
      </c>
      <c r="M23" s="136" t="s">
        <v>200</v>
      </c>
      <c r="N23" s="137">
        <v>2.6250000000000002E-2</v>
      </c>
      <c r="O23" s="136" t="s">
        <v>192</v>
      </c>
      <c r="P23" s="136" t="s">
        <v>201</v>
      </c>
      <c r="Q23" s="136" t="s">
        <v>202</v>
      </c>
      <c r="R23" s="136" t="s">
        <v>337</v>
      </c>
      <c r="S23" s="135">
        <v>4</v>
      </c>
      <c r="T23" s="135">
        <v>4</v>
      </c>
      <c r="U23" s="138"/>
      <c r="V23" s="136" t="s">
        <v>219</v>
      </c>
      <c r="W23" s="143"/>
      <c r="X23" s="137">
        <v>2.6250000000000002E-2</v>
      </c>
      <c r="Y23" s="139">
        <v>10.388526727509779</v>
      </c>
      <c r="Z23" s="107">
        <v>0.27269882659713174</v>
      </c>
      <c r="AA23" s="115" t="s">
        <v>219</v>
      </c>
      <c r="AB23" s="115" t="s">
        <v>219</v>
      </c>
      <c r="AC23" s="125" t="s">
        <v>219</v>
      </c>
      <c r="AD23" s="115" t="s">
        <v>219</v>
      </c>
      <c r="AE23" s="115" t="s">
        <v>219</v>
      </c>
      <c r="AF23" s="125" t="s">
        <v>219</v>
      </c>
      <c r="AG23" s="115" t="s">
        <v>219</v>
      </c>
      <c r="AH23" s="115" t="s">
        <v>219</v>
      </c>
      <c r="AI23" s="125" t="s">
        <v>219</v>
      </c>
      <c r="AJ23" s="115" t="s">
        <v>219</v>
      </c>
      <c r="AK23" s="115" t="s">
        <v>219</v>
      </c>
      <c r="AL23" s="125" t="s">
        <v>219</v>
      </c>
      <c r="AM23" s="115" t="s">
        <v>219</v>
      </c>
      <c r="AN23" s="115" t="s">
        <v>219</v>
      </c>
      <c r="AO23" s="125" t="s">
        <v>219</v>
      </c>
    </row>
    <row r="24" spans="1:41">
      <c r="A24" s="76" t="s">
        <v>338</v>
      </c>
      <c r="B24" s="92" t="s">
        <v>436</v>
      </c>
      <c r="C24" s="111">
        <v>22</v>
      </c>
      <c r="D24" s="111"/>
      <c r="E24" s="135">
        <v>6042</v>
      </c>
      <c r="F24" s="76" t="s">
        <v>297</v>
      </c>
      <c r="G24" s="136" t="s">
        <v>339</v>
      </c>
      <c r="H24" s="136" t="s">
        <v>340</v>
      </c>
      <c r="I24" s="76" t="s">
        <v>437</v>
      </c>
      <c r="J24" s="76" t="s">
        <v>441</v>
      </c>
      <c r="K24" s="76">
        <v>841</v>
      </c>
      <c r="L24" s="76">
        <v>8650</v>
      </c>
      <c r="M24" s="136" t="s">
        <v>200</v>
      </c>
      <c r="N24" s="137">
        <v>2.7833333333333331E-2</v>
      </c>
      <c r="O24" s="136" t="s">
        <v>192</v>
      </c>
      <c r="P24" s="136" t="s">
        <v>201</v>
      </c>
      <c r="Q24" s="136" t="s">
        <v>202</v>
      </c>
      <c r="R24" s="136" t="s">
        <v>341</v>
      </c>
      <c r="S24" s="135">
        <v>6</v>
      </c>
      <c r="T24" s="135">
        <v>0</v>
      </c>
      <c r="U24" s="138"/>
      <c r="V24" s="136" t="s">
        <v>219</v>
      </c>
      <c r="W24" s="137">
        <v>2.7833333333333331E-2</v>
      </c>
      <c r="X24" s="137">
        <v>2.7833333333333331E-2</v>
      </c>
      <c r="Y24" s="139">
        <v>10.28537455410226</v>
      </c>
      <c r="Z24" s="107">
        <v>0.28627625842251286</v>
      </c>
      <c r="AA24" s="115" t="s">
        <v>439</v>
      </c>
      <c r="AB24" s="115" t="s">
        <v>446</v>
      </c>
      <c r="AC24" s="125">
        <v>28034</v>
      </c>
      <c r="AD24" s="115" t="s">
        <v>219</v>
      </c>
      <c r="AE24" s="115" t="s">
        <v>219</v>
      </c>
      <c r="AF24" s="125" t="s">
        <v>219</v>
      </c>
      <c r="AG24" s="115" t="s">
        <v>219</v>
      </c>
      <c r="AH24" s="115" t="s">
        <v>219</v>
      </c>
      <c r="AI24" s="125" t="s">
        <v>219</v>
      </c>
      <c r="AJ24" s="115" t="s">
        <v>219</v>
      </c>
      <c r="AK24" s="115" t="s">
        <v>219</v>
      </c>
      <c r="AL24" s="125" t="s">
        <v>219</v>
      </c>
      <c r="AM24" s="115" t="s">
        <v>219</v>
      </c>
      <c r="AN24" s="115" t="s">
        <v>219</v>
      </c>
      <c r="AO24" s="125" t="s">
        <v>219</v>
      </c>
    </row>
    <row r="25" spans="1:41">
      <c r="A25" s="76" t="s">
        <v>346</v>
      </c>
      <c r="B25" s="92" t="s">
        <v>436</v>
      </c>
      <c r="C25" s="92">
        <v>23</v>
      </c>
      <c r="D25" s="111"/>
      <c r="E25" s="135">
        <v>2517</v>
      </c>
      <c r="F25" s="76" t="s">
        <v>347</v>
      </c>
      <c r="G25" s="136" t="s">
        <v>348</v>
      </c>
      <c r="H25" s="136" t="s">
        <v>349</v>
      </c>
      <c r="I25" s="76" t="s">
        <v>437</v>
      </c>
      <c r="J25" s="76" t="s">
        <v>438</v>
      </c>
      <c r="K25" s="76">
        <v>190</v>
      </c>
      <c r="L25" s="76">
        <v>1850</v>
      </c>
      <c r="M25" s="136" t="s">
        <v>200</v>
      </c>
      <c r="N25" s="137">
        <v>3.2074061720536964E-2</v>
      </c>
      <c r="O25" s="136" t="s">
        <v>192</v>
      </c>
      <c r="P25" s="136" t="s">
        <v>217</v>
      </c>
      <c r="Q25" s="136" t="s">
        <v>218</v>
      </c>
      <c r="R25" s="136" t="s">
        <v>219</v>
      </c>
      <c r="S25" s="135">
        <v>3</v>
      </c>
      <c r="T25" s="135">
        <v>3</v>
      </c>
      <c r="U25" s="140">
        <v>1949</v>
      </c>
      <c r="V25" s="136" t="s">
        <v>219</v>
      </c>
      <c r="W25" s="137">
        <v>3.2074061720536964E-2</v>
      </c>
      <c r="X25" s="137">
        <v>3.2074061720536964E-2</v>
      </c>
      <c r="Y25" s="139">
        <v>9.7368421052631575</v>
      </c>
      <c r="Z25" s="107">
        <v>0.31230007464733361</v>
      </c>
      <c r="AA25" s="115" t="s">
        <v>439</v>
      </c>
      <c r="AB25" s="115" t="s">
        <v>440</v>
      </c>
      <c r="AC25" s="125">
        <v>22221</v>
      </c>
      <c r="AD25" s="115" t="s">
        <v>219</v>
      </c>
      <c r="AE25" s="115" t="s">
        <v>219</v>
      </c>
      <c r="AF25" s="125" t="s">
        <v>219</v>
      </c>
      <c r="AG25" s="115" t="s">
        <v>219</v>
      </c>
      <c r="AH25" s="115" t="s">
        <v>219</v>
      </c>
      <c r="AI25" s="125" t="s">
        <v>219</v>
      </c>
      <c r="AJ25" s="115" t="s">
        <v>219</v>
      </c>
      <c r="AK25" s="115" t="s">
        <v>219</v>
      </c>
      <c r="AL25" s="125" t="s">
        <v>219</v>
      </c>
      <c r="AM25" s="115" t="s">
        <v>219</v>
      </c>
      <c r="AN25" s="115" t="s">
        <v>219</v>
      </c>
      <c r="AO25" s="125" t="s">
        <v>219</v>
      </c>
    </row>
    <row r="26" spans="1:41">
      <c r="A26" s="76" t="s">
        <v>350</v>
      </c>
      <c r="B26" s="92" t="s">
        <v>436</v>
      </c>
      <c r="C26" s="92">
        <v>24</v>
      </c>
      <c r="D26" s="111"/>
      <c r="E26" s="135">
        <v>2050</v>
      </c>
      <c r="F26" s="76" t="s">
        <v>351</v>
      </c>
      <c r="G26" s="136" t="s">
        <v>352</v>
      </c>
      <c r="H26" s="136" t="s">
        <v>353</v>
      </c>
      <c r="I26" s="76" t="s">
        <v>437</v>
      </c>
      <c r="J26" s="76" t="s">
        <v>438</v>
      </c>
      <c r="K26" s="76">
        <v>408</v>
      </c>
      <c r="L26" s="76">
        <v>4900</v>
      </c>
      <c r="M26" s="136" t="s">
        <v>200</v>
      </c>
      <c r="N26" s="137">
        <v>2.6462419961911645E-2</v>
      </c>
      <c r="O26" s="136" t="s">
        <v>192</v>
      </c>
      <c r="P26" s="136" t="s">
        <v>217</v>
      </c>
      <c r="Q26" s="136" t="s">
        <v>218</v>
      </c>
      <c r="R26" s="136" t="s">
        <v>219</v>
      </c>
      <c r="S26" s="135">
        <v>6</v>
      </c>
      <c r="T26" s="135">
        <v>6</v>
      </c>
      <c r="U26" s="135">
        <v>1298</v>
      </c>
      <c r="V26" s="136" t="s">
        <v>219</v>
      </c>
      <c r="W26" s="137">
        <v>2.6462419961911645E-2</v>
      </c>
      <c r="X26" s="137">
        <v>2.6462419961911645E-2</v>
      </c>
      <c r="Y26" s="139">
        <v>12.009803921568627</v>
      </c>
      <c r="Z26" s="107">
        <v>0.31780847503276238</v>
      </c>
      <c r="AA26" s="115" t="s">
        <v>219</v>
      </c>
      <c r="AB26" s="115" t="s">
        <v>219</v>
      </c>
      <c r="AC26" s="125" t="s">
        <v>219</v>
      </c>
      <c r="AD26" s="115" t="s">
        <v>219</v>
      </c>
      <c r="AE26" s="115" t="s">
        <v>219</v>
      </c>
      <c r="AF26" s="125" t="s">
        <v>219</v>
      </c>
      <c r="AG26" s="115" t="s">
        <v>219</v>
      </c>
      <c r="AH26" s="115" t="s">
        <v>219</v>
      </c>
      <c r="AI26" s="125" t="s">
        <v>219</v>
      </c>
      <c r="AJ26" s="115" t="s">
        <v>219</v>
      </c>
      <c r="AK26" s="115" t="s">
        <v>219</v>
      </c>
      <c r="AL26" s="125" t="s">
        <v>219</v>
      </c>
      <c r="AM26" s="115" t="s">
        <v>219</v>
      </c>
      <c r="AN26" s="115" t="s">
        <v>219</v>
      </c>
      <c r="AO26" s="125" t="s">
        <v>219</v>
      </c>
    </row>
    <row r="27" spans="1:41">
      <c r="A27" s="76" t="s">
        <v>354</v>
      </c>
      <c r="B27" s="92" t="s">
        <v>436</v>
      </c>
      <c r="C27" s="111">
        <v>25</v>
      </c>
      <c r="D27" s="111"/>
      <c r="E27" s="135">
        <v>609</v>
      </c>
      <c r="F27" s="76" t="s">
        <v>288</v>
      </c>
      <c r="G27" s="136" t="s">
        <v>355</v>
      </c>
      <c r="H27" s="136" t="s">
        <v>356</v>
      </c>
      <c r="I27" s="76" t="s">
        <v>437</v>
      </c>
      <c r="J27" s="76" t="s">
        <v>441</v>
      </c>
      <c r="K27" s="76">
        <v>375</v>
      </c>
      <c r="L27" s="76">
        <v>4000</v>
      </c>
      <c r="M27" s="136" t="s">
        <v>200</v>
      </c>
      <c r="N27" s="137">
        <v>3.1666666666666669E-2</v>
      </c>
      <c r="O27" s="136" t="s">
        <v>192</v>
      </c>
      <c r="P27" s="136" t="s">
        <v>201</v>
      </c>
      <c r="Q27" s="136" t="s">
        <v>202</v>
      </c>
      <c r="R27" s="136" t="s">
        <v>357</v>
      </c>
      <c r="S27" s="135">
        <v>6</v>
      </c>
      <c r="T27" s="135">
        <v>6</v>
      </c>
      <c r="U27" s="138"/>
      <c r="V27" s="136" t="s">
        <v>219</v>
      </c>
      <c r="W27" s="141">
        <v>3.1666666666666669E-2</v>
      </c>
      <c r="X27" s="137">
        <v>3.1666666666666669E-2</v>
      </c>
      <c r="Y27" s="139">
        <v>10.666666666666666</v>
      </c>
      <c r="Z27" s="107">
        <v>0.33777777777777779</v>
      </c>
      <c r="AA27" s="115" t="s">
        <v>439</v>
      </c>
      <c r="AB27" s="115" t="s">
        <v>446</v>
      </c>
      <c r="AC27" s="125">
        <v>25324</v>
      </c>
      <c r="AD27" s="115" t="s">
        <v>219</v>
      </c>
      <c r="AE27" s="115" t="s">
        <v>219</v>
      </c>
      <c r="AF27" s="125" t="s">
        <v>219</v>
      </c>
      <c r="AG27" s="115" t="s">
        <v>219</v>
      </c>
      <c r="AH27" s="115" t="s">
        <v>219</v>
      </c>
      <c r="AI27" s="125" t="s">
        <v>219</v>
      </c>
      <c r="AJ27" s="115" t="s">
        <v>219</v>
      </c>
      <c r="AK27" s="115" t="s">
        <v>219</v>
      </c>
      <c r="AL27" s="125" t="s">
        <v>219</v>
      </c>
      <c r="AM27" s="115" t="s">
        <v>219</v>
      </c>
      <c r="AN27" s="115" t="s">
        <v>219</v>
      </c>
      <c r="AO27" s="125" t="s">
        <v>219</v>
      </c>
    </row>
    <row r="28" spans="1:41">
      <c r="A28" s="76" t="s">
        <v>362</v>
      </c>
      <c r="B28" s="92" t="s">
        <v>436</v>
      </c>
      <c r="C28" s="111">
        <v>26</v>
      </c>
      <c r="D28" s="111"/>
      <c r="E28" s="135">
        <v>8054</v>
      </c>
      <c r="F28" s="76" t="s">
        <v>363</v>
      </c>
      <c r="G28" s="136" t="s">
        <v>352</v>
      </c>
      <c r="H28" s="136" t="s">
        <v>353</v>
      </c>
      <c r="I28" s="76" t="s">
        <v>437</v>
      </c>
      <c r="J28" s="76" t="s">
        <v>447</v>
      </c>
      <c r="K28" s="76">
        <v>737</v>
      </c>
      <c r="L28" s="76">
        <v>6650</v>
      </c>
      <c r="M28" s="136" t="s">
        <v>200</v>
      </c>
      <c r="N28" s="137">
        <v>3.7950563866269112E-2</v>
      </c>
      <c r="O28" s="136" t="s">
        <v>192</v>
      </c>
      <c r="P28" s="136" t="s">
        <v>217</v>
      </c>
      <c r="Q28" s="136" t="s">
        <v>218</v>
      </c>
      <c r="R28" s="136" t="s">
        <v>219</v>
      </c>
      <c r="S28" s="135">
        <v>6</v>
      </c>
      <c r="T28" s="135">
        <v>6</v>
      </c>
      <c r="U28" s="140">
        <v>1295</v>
      </c>
      <c r="V28" s="136" t="s">
        <v>219</v>
      </c>
      <c r="W28" s="141">
        <v>3.7950563866269112E-2</v>
      </c>
      <c r="X28" s="137">
        <v>3.7950563866269112E-2</v>
      </c>
      <c r="Y28" s="139">
        <v>9.023066485753052</v>
      </c>
      <c r="Z28" s="107">
        <v>0.34243046093716362</v>
      </c>
      <c r="AA28" s="115" t="s">
        <v>219</v>
      </c>
      <c r="AB28" s="115" t="s">
        <v>219</v>
      </c>
      <c r="AC28" s="125" t="s">
        <v>219</v>
      </c>
      <c r="AD28" s="115" t="s">
        <v>219</v>
      </c>
      <c r="AE28" s="115" t="s">
        <v>219</v>
      </c>
      <c r="AF28" s="125" t="s">
        <v>219</v>
      </c>
      <c r="AG28" s="115" t="s">
        <v>219</v>
      </c>
      <c r="AH28" s="115" t="s">
        <v>219</v>
      </c>
      <c r="AI28" s="125" t="s">
        <v>219</v>
      </c>
      <c r="AJ28" s="115" t="s">
        <v>219</v>
      </c>
      <c r="AK28" s="115" t="s">
        <v>219</v>
      </c>
      <c r="AL28" s="125" t="s">
        <v>219</v>
      </c>
      <c r="AM28" s="115" t="s">
        <v>219</v>
      </c>
      <c r="AN28" s="115" t="s">
        <v>219</v>
      </c>
      <c r="AO28" s="125" t="s">
        <v>219</v>
      </c>
    </row>
    <row r="29" spans="1:41">
      <c r="A29" s="76" t="s">
        <v>364</v>
      </c>
      <c r="B29" s="92" t="s">
        <v>436</v>
      </c>
      <c r="C29" s="92">
        <v>27</v>
      </c>
      <c r="D29" s="111"/>
      <c r="E29" s="135">
        <v>619</v>
      </c>
      <c r="F29" s="76" t="s">
        <v>365</v>
      </c>
      <c r="G29" s="136" t="s">
        <v>366</v>
      </c>
      <c r="H29" s="136" t="s">
        <v>367</v>
      </c>
      <c r="I29" s="76" t="s">
        <v>437</v>
      </c>
      <c r="J29" s="76" t="s">
        <v>441</v>
      </c>
      <c r="K29" s="76">
        <v>289</v>
      </c>
      <c r="L29" s="76">
        <v>3260</v>
      </c>
      <c r="M29" s="136" t="s">
        <v>200</v>
      </c>
      <c r="N29" s="137">
        <v>3.2500000000000001E-2</v>
      </c>
      <c r="O29" s="136" t="s">
        <v>192</v>
      </c>
      <c r="P29" s="136" t="s">
        <v>201</v>
      </c>
      <c r="Q29" s="136" t="s">
        <v>202</v>
      </c>
      <c r="R29" s="136" t="s">
        <v>368</v>
      </c>
      <c r="S29" s="135">
        <v>6</v>
      </c>
      <c r="T29" s="135">
        <v>6</v>
      </c>
      <c r="U29" s="144"/>
      <c r="V29" s="136" t="s">
        <v>219</v>
      </c>
      <c r="W29" s="137">
        <v>3.2500000000000001E-2</v>
      </c>
      <c r="X29" s="137">
        <v>3.2500000000000001E-2</v>
      </c>
      <c r="Y29" s="139">
        <v>11.280276816608996</v>
      </c>
      <c r="Z29" s="107">
        <v>0.3666089965397924</v>
      </c>
      <c r="AA29" s="115" t="s">
        <v>439</v>
      </c>
      <c r="AB29" s="115" t="s">
        <v>446</v>
      </c>
      <c r="AC29" s="125">
        <v>23071</v>
      </c>
      <c r="AD29" s="115" t="s">
        <v>219</v>
      </c>
      <c r="AE29" s="115" t="s">
        <v>219</v>
      </c>
      <c r="AF29" s="125" t="s">
        <v>219</v>
      </c>
      <c r="AG29" s="115" t="s">
        <v>219</v>
      </c>
      <c r="AH29" s="115" t="s">
        <v>219</v>
      </c>
      <c r="AI29" s="125" t="s">
        <v>219</v>
      </c>
      <c r="AJ29" s="115" t="s">
        <v>219</v>
      </c>
      <c r="AK29" s="115" t="s">
        <v>219</v>
      </c>
      <c r="AL29" s="125" t="s">
        <v>219</v>
      </c>
      <c r="AM29" s="115" t="s">
        <v>219</v>
      </c>
      <c r="AN29" s="115" t="s">
        <v>219</v>
      </c>
      <c r="AO29" s="125" t="s">
        <v>219</v>
      </c>
    </row>
    <row r="30" spans="1:41">
      <c r="A30" s="76" t="s">
        <v>373</v>
      </c>
      <c r="B30" s="92" t="s">
        <v>436</v>
      </c>
      <c r="C30" s="92">
        <v>28</v>
      </c>
      <c r="D30" s="111"/>
      <c r="E30" s="135">
        <v>619</v>
      </c>
      <c r="F30" s="76" t="s">
        <v>365</v>
      </c>
      <c r="G30" s="136" t="s">
        <v>374</v>
      </c>
      <c r="H30" s="136" t="s">
        <v>375</v>
      </c>
      <c r="I30" s="76" t="s">
        <v>437</v>
      </c>
      <c r="J30" s="76" t="s">
        <v>441</v>
      </c>
      <c r="K30" s="76">
        <v>289</v>
      </c>
      <c r="L30" s="76">
        <v>3260</v>
      </c>
      <c r="M30" s="136" t="s">
        <v>200</v>
      </c>
      <c r="N30" s="137">
        <v>3.4833333333333334E-2</v>
      </c>
      <c r="O30" s="136" t="s">
        <v>192</v>
      </c>
      <c r="P30" s="136" t="s">
        <v>201</v>
      </c>
      <c r="Q30" s="136" t="s">
        <v>202</v>
      </c>
      <c r="R30" s="136" t="s">
        <v>376</v>
      </c>
      <c r="S30" s="135">
        <v>6</v>
      </c>
      <c r="T30" s="135">
        <v>6</v>
      </c>
      <c r="U30" s="138"/>
      <c r="V30" s="136" t="s">
        <v>219</v>
      </c>
      <c r="W30" s="137">
        <v>3.4833333333333334E-2</v>
      </c>
      <c r="X30" s="137">
        <v>3.4833333333333334E-2</v>
      </c>
      <c r="Y30" s="139">
        <v>11.280276816608996</v>
      </c>
      <c r="Z30" s="107">
        <v>0.39292964244521339</v>
      </c>
      <c r="AA30" s="115" t="s">
        <v>439</v>
      </c>
      <c r="AB30" s="115" t="s">
        <v>446</v>
      </c>
      <c r="AC30" s="125">
        <v>22767</v>
      </c>
      <c r="AD30" s="115" t="s">
        <v>219</v>
      </c>
      <c r="AE30" s="115" t="s">
        <v>219</v>
      </c>
      <c r="AF30" s="125" t="s">
        <v>219</v>
      </c>
      <c r="AG30" s="115" t="s">
        <v>219</v>
      </c>
      <c r="AH30" s="115" t="s">
        <v>219</v>
      </c>
      <c r="AI30" s="125" t="s">
        <v>219</v>
      </c>
      <c r="AJ30" s="115" t="s">
        <v>219</v>
      </c>
      <c r="AK30" s="115" t="s">
        <v>219</v>
      </c>
      <c r="AL30" s="125" t="s">
        <v>219</v>
      </c>
      <c r="AM30" s="115" t="s">
        <v>219</v>
      </c>
      <c r="AN30" s="115" t="s">
        <v>219</v>
      </c>
      <c r="AO30" s="125" t="s">
        <v>219</v>
      </c>
    </row>
    <row r="31" spans="1:41">
      <c r="A31" s="76" t="s">
        <v>381</v>
      </c>
      <c r="B31" s="92" t="s">
        <v>436</v>
      </c>
      <c r="C31" s="111">
        <v>29</v>
      </c>
      <c r="D31" s="111"/>
      <c r="E31" s="135">
        <v>715</v>
      </c>
      <c r="F31" s="76" t="s">
        <v>382</v>
      </c>
      <c r="G31" s="136" t="s">
        <v>352</v>
      </c>
      <c r="H31" s="136" t="s">
        <v>383</v>
      </c>
      <c r="I31" s="76" t="s">
        <v>437</v>
      </c>
      <c r="J31" s="76" t="s">
        <v>441</v>
      </c>
      <c r="K31" s="76">
        <v>45</v>
      </c>
      <c r="L31" s="76">
        <v>450</v>
      </c>
      <c r="M31" s="136" t="s">
        <v>200</v>
      </c>
      <c r="N31" s="137">
        <v>5.0922762810747944E-2</v>
      </c>
      <c r="O31" s="136" t="s">
        <v>192</v>
      </c>
      <c r="P31" s="136" t="s">
        <v>217</v>
      </c>
      <c r="Q31" s="136" t="s">
        <v>218</v>
      </c>
      <c r="R31" s="136" t="s">
        <v>219</v>
      </c>
      <c r="S31" s="135">
        <v>3</v>
      </c>
      <c r="T31" s="135">
        <v>3</v>
      </c>
      <c r="U31" s="135">
        <v>2159</v>
      </c>
      <c r="V31" s="136" t="s">
        <v>219</v>
      </c>
      <c r="W31" s="137">
        <v>5.0922762810747944E-2</v>
      </c>
      <c r="X31" s="137">
        <v>5.0922762810747944E-2</v>
      </c>
      <c r="Y31" s="139">
        <v>10</v>
      </c>
      <c r="Z31" s="107">
        <v>0.50922762810747946</v>
      </c>
      <c r="AA31" s="115" t="s">
        <v>219</v>
      </c>
      <c r="AB31" s="115" t="s">
        <v>219</v>
      </c>
      <c r="AC31" s="125" t="s">
        <v>219</v>
      </c>
      <c r="AD31" s="115" t="s">
        <v>219</v>
      </c>
      <c r="AE31" s="115" t="s">
        <v>219</v>
      </c>
      <c r="AF31" s="125" t="s">
        <v>219</v>
      </c>
      <c r="AG31" s="115" t="s">
        <v>219</v>
      </c>
      <c r="AH31" s="115" t="s">
        <v>219</v>
      </c>
      <c r="AI31" s="125" t="s">
        <v>219</v>
      </c>
      <c r="AJ31" s="115" t="s">
        <v>219</v>
      </c>
      <c r="AK31" s="115" t="s">
        <v>219</v>
      </c>
      <c r="AL31" s="125" t="s">
        <v>219</v>
      </c>
      <c r="AM31" s="115" t="s">
        <v>219</v>
      </c>
      <c r="AN31" s="115" t="s">
        <v>219</v>
      </c>
      <c r="AO31" s="125" t="s">
        <v>219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00B050"/>
  </sheetPr>
  <dimension ref="A2:AM143"/>
  <sheetViews>
    <sheetView workbookViewId="0"/>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65" t="s">
        <v>118</v>
      </c>
      <c r="B2" s="465"/>
      <c r="C2" s="465"/>
      <c r="D2" s="465"/>
      <c r="E2" s="465"/>
      <c r="F2" s="465"/>
      <c r="I2" s="39" t="s">
        <v>119</v>
      </c>
      <c r="J2" s="40">
        <f>'Recalculate t-stat'!G5</f>
        <v>4.8107028585681331</v>
      </c>
      <c r="L2" t="s">
        <v>120</v>
      </c>
      <c r="M2" s="40">
        <f>1/(1+$J$2^2/(C20-1))</f>
        <v>0.11475407706904055</v>
      </c>
    </row>
    <row r="7" spans="1:13">
      <c r="A7" s="488" t="s">
        <v>40</v>
      </c>
      <c r="B7" s="488"/>
      <c r="C7" s="488"/>
      <c r="D7" s="488"/>
      <c r="E7" s="488"/>
      <c r="F7" s="488"/>
      <c r="G7" s="488"/>
      <c r="H7" s="488"/>
    </row>
    <row r="9" spans="1:13">
      <c r="A9" s="47" t="s">
        <v>41</v>
      </c>
      <c r="B9" s="47"/>
      <c r="C9" s="47"/>
      <c r="D9" s="47"/>
      <c r="E9" s="47"/>
      <c r="F9" s="47"/>
      <c r="G9" s="47"/>
      <c r="H9" s="47"/>
    </row>
    <row r="13" spans="1:13">
      <c r="A13" s="48" t="s">
        <v>42</v>
      </c>
    </row>
    <row r="16" spans="1:13">
      <c r="A16" s="39" t="s">
        <v>43</v>
      </c>
      <c r="F16" t="s">
        <v>44</v>
      </c>
      <c r="H16" s="49">
        <f>'Template_nonnormal '!B44</f>
        <v>0.38755049291912408</v>
      </c>
    </row>
    <row r="18" spans="1:39">
      <c r="A18" s="39" t="s">
        <v>45</v>
      </c>
      <c r="C18">
        <f>M2</f>
        <v>0.11475407706904055</v>
      </c>
      <c r="F18" t="s">
        <v>46</v>
      </c>
      <c r="H18" s="49">
        <f>'Template_nonnormal '!B41</f>
        <v>-3.423662562692245</v>
      </c>
    </row>
    <row r="20" spans="1:39">
      <c r="A20" s="39" t="s">
        <v>47</v>
      </c>
      <c r="C20">
        <f>'Template_nonnormal '!$J$107</f>
        <v>4</v>
      </c>
    </row>
    <row r="22" spans="1:39">
      <c r="A22" t="s">
        <v>48</v>
      </c>
      <c r="C22">
        <f>'Template_nonnormal '!H102</f>
        <v>4.5407028585681335</v>
      </c>
    </row>
    <row r="24" spans="1:39">
      <c r="A24" s="488" t="s">
        <v>49</v>
      </c>
      <c r="B24" s="488"/>
      <c r="I24" s="488" t="s">
        <v>50</v>
      </c>
      <c r="J24" s="488"/>
      <c r="P24" s="488" t="s">
        <v>51</v>
      </c>
      <c r="Q24" s="488"/>
      <c r="V24" s="488" t="s">
        <v>52</v>
      </c>
      <c r="W24" s="488"/>
      <c r="AB24" s="488" t="s">
        <v>53</v>
      </c>
      <c r="AC24" s="488"/>
      <c r="AI24" s="488" t="s">
        <v>169</v>
      </c>
      <c r="AJ24" s="488"/>
    </row>
    <row r="26" spans="1:39">
      <c r="A26" s="39" t="s">
        <v>54</v>
      </c>
      <c r="B26">
        <f>($C$20-1)/2</f>
        <v>1.5</v>
      </c>
      <c r="I26" s="39" t="s">
        <v>54</v>
      </c>
      <c r="J26">
        <f>($C$20+1)/2</f>
        <v>2.5</v>
      </c>
      <c r="P26" s="39" t="s">
        <v>54</v>
      </c>
      <c r="Q26">
        <f>($C$20+3)/2</f>
        <v>3.5</v>
      </c>
      <c r="V26" s="39" t="s">
        <v>54</v>
      </c>
      <c r="W26">
        <f>($C$20+3)/2</f>
        <v>3.5</v>
      </c>
      <c r="AB26" s="39" t="s">
        <v>54</v>
      </c>
      <c r="AC26">
        <f>($C$20-1)/2</f>
        <v>1.5</v>
      </c>
      <c r="AI26" s="39" t="s">
        <v>54</v>
      </c>
      <c r="AJ26">
        <f>($C$20+1)/2</f>
        <v>2.5</v>
      </c>
    </row>
    <row r="28" spans="1:39">
      <c r="A28" s="39" t="s">
        <v>55</v>
      </c>
      <c r="B28">
        <f>1/2</f>
        <v>0.5</v>
      </c>
      <c r="C28" s="49"/>
      <c r="I28" s="39" t="s">
        <v>55</v>
      </c>
      <c r="J28">
        <f>1/2</f>
        <v>0.5</v>
      </c>
      <c r="P28" s="39" t="s">
        <v>55</v>
      </c>
      <c r="Q28">
        <f>1/2</f>
        <v>0.5</v>
      </c>
      <c r="V28" s="39" t="s">
        <v>55</v>
      </c>
      <c r="W28">
        <f>1/2</f>
        <v>0.5</v>
      </c>
      <c r="AB28" s="39" t="s">
        <v>55</v>
      </c>
      <c r="AC28">
        <v>1</v>
      </c>
      <c r="AI28" s="39" t="s">
        <v>55</v>
      </c>
      <c r="AJ28">
        <v>1</v>
      </c>
    </row>
    <row r="29" spans="1:39">
      <c r="A29" s="50"/>
      <c r="B29" s="50"/>
      <c r="C29" s="51"/>
      <c r="I29" s="50"/>
      <c r="J29" s="50"/>
      <c r="P29" s="50"/>
      <c r="Q29" s="50"/>
      <c r="V29" s="50"/>
      <c r="W29" s="50"/>
      <c r="AB29" s="50"/>
      <c r="AC29" s="50"/>
      <c r="AI29" s="50"/>
      <c r="AJ29" s="50"/>
    </row>
    <row r="30" spans="1:39">
      <c r="A30" s="39" t="s">
        <v>56</v>
      </c>
      <c r="B30" s="50">
        <f>B28*($C$18/(1-$C$18))</f>
        <v>6.4814801230092894E-2</v>
      </c>
      <c r="C30" s="51"/>
      <c r="I30" s="39" t="s">
        <v>56</v>
      </c>
      <c r="J30" s="50">
        <f>J28*($C$18/(1-$C$18))</f>
        <v>6.4814801230092894E-2</v>
      </c>
      <c r="P30" s="39" t="s">
        <v>56</v>
      </c>
      <c r="Q30" s="50">
        <f>Q28*($C$18/(1-$C$18))</f>
        <v>6.4814801230092894E-2</v>
      </c>
      <c r="V30" s="39" t="s">
        <v>56</v>
      </c>
      <c r="W30" s="50">
        <f>W28*($C$18/(1-$C$18))</f>
        <v>6.4814801230092894E-2</v>
      </c>
      <c r="AB30" s="39" t="s">
        <v>56</v>
      </c>
      <c r="AC30" s="50">
        <f>AC28*($C$18/(1-$C$18))</f>
        <v>0.12962960246018579</v>
      </c>
      <c r="AI30" s="39" t="s">
        <v>56</v>
      </c>
      <c r="AJ30" s="50">
        <f>AJ28*($C$18/(1-$C$18))</f>
        <v>0.12962960246018579</v>
      </c>
    </row>
    <row r="32" spans="1:39">
      <c r="A32" s="488" t="s">
        <v>57</v>
      </c>
      <c r="B32" s="488"/>
      <c r="C32" s="488"/>
      <c r="D32" s="488"/>
      <c r="E32" s="488"/>
      <c r="I32" s="488" t="s">
        <v>57</v>
      </c>
      <c r="J32" s="488"/>
      <c r="K32" s="488"/>
      <c r="L32" s="488"/>
      <c r="M32" s="488"/>
      <c r="P32" s="488" t="s">
        <v>57</v>
      </c>
      <c r="Q32" s="488"/>
      <c r="R32" s="488"/>
      <c r="S32" s="488"/>
      <c r="T32" s="488"/>
      <c r="V32" s="488" t="s">
        <v>57</v>
      </c>
      <c r="W32" s="488"/>
      <c r="X32" s="488"/>
      <c r="Y32" s="488"/>
      <c r="Z32" s="488"/>
      <c r="AB32" s="488" t="s">
        <v>57</v>
      </c>
      <c r="AC32" s="488"/>
      <c r="AD32" s="488"/>
      <c r="AE32" s="488"/>
      <c r="AF32" s="488"/>
      <c r="AI32" s="488" t="s">
        <v>57</v>
      </c>
      <c r="AJ32" s="488"/>
      <c r="AK32" s="488"/>
      <c r="AL32" s="488"/>
      <c r="AM32" s="488"/>
    </row>
    <row r="34" spans="1:39">
      <c r="A34" t="s">
        <v>58</v>
      </c>
      <c r="C34" s="52">
        <f>GAMMADIST($B$30,$B$26, 1, TRUE)</f>
        <v>1.1941215479181356E-2</v>
      </c>
      <c r="I34" t="s">
        <v>59</v>
      </c>
      <c r="K34" s="52">
        <f>GAMMADIST($J$30,$J$26, 1, TRUE)</f>
        <v>3.0728726598531217E-4</v>
      </c>
      <c r="P34" t="s">
        <v>60</v>
      </c>
      <c r="R34" s="52">
        <f>GAMMADIST($Q$30,$Q$26, 1, TRUE)</f>
        <v>5.6669679445437722E-6</v>
      </c>
      <c r="V34" t="s">
        <v>61</v>
      </c>
      <c r="X34" s="52">
        <f>GAMMADIST($W$30,$W$26, 1, TRUE)</f>
        <v>5.6669679445437722E-6</v>
      </c>
      <c r="AB34" t="s">
        <v>62</v>
      </c>
      <c r="AD34" s="52">
        <f>GAMMADIST($AC$30,$AC$26, 1, TRUE)</f>
        <v>3.2500704861625734E-2</v>
      </c>
      <c r="AI34" t="s">
        <v>161</v>
      </c>
      <c r="AK34" s="52">
        <f>GAMMADIST($AJ$30,$AJ$26, 1, TRUE)</f>
        <v>1.6601159256639873E-3</v>
      </c>
    </row>
    <row r="36" spans="1:39">
      <c r="A36" t="s">
        <v>63</v>
      </c>
      <c r="C36">
        <f>EXP(GAMMALN($B$26))</f>
        <v>0.88622692539526249</v>
      </c>
      <c r="I36" t="s">
        <v>64</v>
      </c>
      <c r="K36">
        <f>EXP(GAMMALN($J$26))</f>
        <v>1.3293403880407133</v>
      </c>
      <c r="P36" t="s">
        <v>65</v>
      </c>
      <c r="R36">
        <f>EXP(GAMMALN($Q$26))</f>
        <v>3.3233509700025894</v>
      </c>
      <c r="V36" t="s">
        <v>66</v>
      </c>
      <c r="X36">
        <f>EXP(GAMMALN($W$26))</f>
        <v>3.3233509700025894</v>
      </c>
      <c r="AB36" t="s">
        <v>67</v>
      </c>
      <c r="AD36">
        <f>EXP(GAMMALN($AC$26))</f>
        <v>0.88622692539526249</v>
      </c>
      <c r="AI36" t="s">
        <v>162</v>
      </c>
      <c r="AK36">
        <f>EXP(GAMMALN($AJ$26))</f>
        <v>1.3293403880407133</v>
      </c>
    </row>
    <row r="38" spans="1:39">
      <c r="A38" t="s">
        <v>68</v>
      </c>
      <c r="C38">
        <f>EXP(-$B$30)*$B$30^$B$26/$C$36</f>
        <v>1.7450892333992676E-2</v>
      </c>
      <c r="I38" t="s">
        <v>69</v>
      </c>
      <c r="K38">
        <f>EXP(-$J$30)*$J$30^$J$26/$K$36</f>
        <v>7.5405074530658991E-4</v>
      </c>
      <c r="P38" t="s">
        <v>70</v>
      </c>
      <c r="R38">
        <f>EXP(-$Q$30)*$Q$30^$Q$26/$R$36</f>
        <v>1.9549459670363526E-5</v>
      </c>
      <c r="V38" t="s">
        <v>71</v>
      </c>
      <c r="X38">
        <f>EXP(-$W$30)*$W$30^$W$26/$X$36</f>
        <v>1.9549459670363526E-5</v>
      </c>
      <c r="AB38" t="s">
        <v>72</v>
      </c>
      <c r="AD38">
        <f>EXP(-$AC$30)*$AC$30^$AC$26/$AD$36</f>
        <v>4.6260883424831645E-2</v>
      </c>
      <c r="AI38" t="s">
        <v>163</v>
      </c>
      <c r="AK38">
        <f>EXP(-$AJ$30)*$AJ$30^$AJ$26/$AK$36</f>
        <v>3.9978532853688752E-3</v>
      </c>
    </row>
    <row r="41" spans="1:39">
      <c r="A41" t="s">
        <v>73</v>
      </c>
      <c r="C41">
        <f>($B$26-1-$B$30)/(2*$B$28)</f>
        <v>0.43518519876990713</v>
      </c>
      <c r="I41" t="s">
        <v>74</v>
      </c>
      <c r="K41">
        <f>($J$26-1-$J$30)/(2*$J$28)</f>
        <v>1.4351851987699071</v>
      </c>
      <c r="P41" t="s">
        <v>75</v>
      </c>
      <c r="R41">
        <f>($Q$26-1-$Q$30)/(2*$Q$28)</f>
        <v>2.4351851987699069</v>
      </c>
      <c r="V41" t="s">
        <v>76</v>
      </c>
      <c r="X41">
        <f>($W$26-1-$W$30)/(2*$W$28)</f>
        <v>2.4351851987699069</v>
      </c>
      <c r="AB41" t="s">
        <v>77</v>
      </c>
      <c r="AD41">
        <f>($AC$26-1-$AC$30)/(2*$AC$28)</f>
        <v>0.18518519876990711</v>
      </c>
      <c r="AI41" t="s">
        <v>164</v>
      </c>
      <c r="AK41">
        <f>($AJ$26-1-$AJ$30)/(2*$AJ$28)</f>
        <v>0.68518519876990713</v>
      </c>
    </row>
    <row r="43" spans="1:39">
      <c r="A43" t="s">
        <v>78</v>
      </c>
      <c r="E43">
        <f>($B$26^3/2-5*$B$26^2/3+3*$B$26/2-(1/3))</f>
        <v>-0.14583333333333331</v>
      </c>
      <c r="I43" t="s">
        <v>79</v>
      </c>
      <c r="M43">
        <f>($J$26^3/2-5*$J$26^2/3+3*$J$26/2-(1/3))</f>
        <v>0.81250000000000067</v>
      </c>
      <c r="P43" t="s">
        <v>80</v>
      </c>
      <c r="T43">
        <f>($Q$26^3/2-5*$Q$26^2/3+3*$Q$26/2-(1/3))</f>
        <v>5.9374999999999991</v>
      </c>
      <c r="V43" t="s">
        <v>81</v>
      </c>
      <c r="Z43">
        <f>($W$26^3/2-5*$W$26^2/3+3*$W$26/2-(1/3))</f>
        <v>5.9374999999999991</v>
      </c>
      <c r="AB43" t="s">
        <v>82</v>
      </c>
      <c r="AF43">
        <f>($AC$26^3/2-5*$AC$26^2/3+3*$AC$26/2-(1/3))</f>
        <v>-0.14583333333333331</v>
      </c>
      <c r="AI43" t="s">
        <v>165</v>
      </c>
      <c r="AM43">
        <f>($AJ$26^3/2-5*$AJ$26^2/3+3*$AJ$26/2-(1/3))</f>
        <v>0.81250000000000067</v>
      </c>
    </row>
    <row r="47" spans="1:39">
      <c r="A47" t="s">
        <v>83</v>
      </c>
      <c r="E47">
        <f>$B$30*(3*$B$26^2/2-11*$B$26/6+(1/3))</f>
        <v>6.2114184512172349E-2</v>
      </c>
      <c r="I47" t="s">
        <v>84</v>
      </c>
      <c r="M47">
        <f>$J$30*(3*$J$26^2/2-11*$J$26/6+(1/3))</f>
        <v>0.33217585630422608</v>
      </c>
      <c r="P47" t="s">
        <v>85</v>
      </c>
      <c r="T47">
        <f>$Q$30*(3*$Q$26^2/2-11*$Q$26/6+(1/3))</f>
        <v>0.79668193178655844</v>
      </c>
      <c r="V47" t="s">
        <v>86</v>
      </c>
      <c r="Z47">
        <f>$W$30*(3*$W$26^2/2-11*$W$26/6+(1/3))</f>
        <v>0.79668193178655844</v>
      </c>
      <c r="AB47" t="s">
        <v>87</v>
      </c>
      <c r="AF47">
        <f>$AC$30*(3*$AC$26^2/2-11*$AC$26/6+(1/3))</f>
        <v>0.1242283690243447</v>
      </c>
      <c r="AI47" t="s">
        <v>166</v>
      </c>
      <c r="AM47">
        <f>$AJ$30*(3*$AJ$26^2/2-11*$AJ$26/6+(1/3))</f>
        <v>0.66435171260845216</v>
      </c>
    </row>
    <row r="50" spans="1:39">
      <c r="A50" t="s">
        <v>88</v>
      </c>
      <c r="E50" s="53">
        <f>B30^2*(3*$B$26/2-(1/6))</f>
        <v>8.7519967885342741E-3</v>
      </c>
      <c r="I50" t="s">
        <v>89</v>
      </c>
      <c r="M50" s="53">
        <f>$J$30^2*(3*$J$26/2-(1/6))</f>
        <v>1.5053434476278951E-2</v>
      </c>
      <c r="P50" t="s">
        <v>90</v>
      </c>
      <c r="T50" s="53">
        <f>Q30^2*(3*$Q$26/2-(1/6))</f>
        <v>2.1354872164023625E-2</v>
      </c>
      <c r="V50" t="s">
        <v>91</v>
      </c>
      <c r="Z50" s="53">
        <f>W30^2*(3*$W$26/2-(1/6))</f>
        <v>2.1354872164023625E-2</v>
      </c>
      <c r="AB50" t="s">
        <v>92</v>
      </c>
      <c r="AF50" s="53">
        <f>AC30^2*(3*$AC$26/2-(1/6))</f>
        <v>3.5007987154137096E-2</v>
      </c>
      <c r="AI50" t="s">
        <v>167</v>
      </c>
      <c r="AM50" s="53">
        <f>AJ30^2*(3*$AJ$26/2-(1/6))</f>
        <v>6.0213737905115805E-2</v>
      </c>
    </row>
    <row r="54" spans="1:39">
      <c r="A54" t="s">
        <v>93</v>
      </c>
      <c r="E54" s="53">
        <f>C34/C36+C38*(C41+(1/(2*$B$28)^2)*(E43-E47+E50-B30^3/2))</f>
        <v>1.7590073433190558E-2</v>
      </c>
      <c r="I54" t="s">
        <v>94</v>
      </c>
      <c r="M54" s="53">
        <f>K34/K36+K38*(K41+(1/(2*$J$28)^2)*(M43-M47+M50-J30^3/2))</f>
        <v>1.6867973422544098E-3</v>
      </c>
      <c r="P54" t="s">
        <v>95</v>
      </c>
      <c r="T54" s="53">
        <f>R34/R36+R38*(R41+(1/(2*$Q$28)^2)*(T43-T47+T50-Q30^3/2))</f>
        <v>1.5022678198924207E-4</v>
      </c>
      <c r="V54" t="s">
        <v>96</v>
      </c>
      <c r="Z54" s="53">
        <f>X34/X36+X38*(X41+(1/(2*$W$28)^2)*(Z43-Z47+Z50-W30^3/2))</f>
        <v>1.5022678198924207E-4</v>
      </c>
      <c r="AB54" t="s">
        <v>97</v>
      </c>
      <c r="AF54" s="53">
        <f>AD34/AD36+AD38*(AD41+(1/(2*$AC$28)^2)*(AF43-AF47+AF50-AC30^3/2))</f>
        <v>4.2508904935374604E-2</v>
      </c>
      <c r="AI54" t="s">
        <v>168</v>
      </c>
      <c r="AM54" s="53">
        <f>AK34/AK36+AK38*(AK41+(1/(2*$AC$28)^2)*(AM43-AM47+AM50-AJ30^3/2))</f>
        <v>4.1952583643183284E-3</v>
      </c>
    </row>
    <row r="57" spans="1:39">
      <c r="A57" t="s">
        <v>98</v>
      </c>
      <c r="F57" s="53">
        <f>(1/2)*$E$54</f>
        <v>8.7950367165952788E-3</v>
      </c>
    </row>
    <row r="61" spans="1:39">
      <c r="A61" t="s">
        <v>99</v>
      </c>
    </row>
    <row r="67" spans="1:5">
      <c r="A67" t="s">
        <v>100</v>
      </c>
      <c r="D67">
        <f>1/(6*SQRT(2*$C$20*PI()))</f>
        <v>3.3245190033452728E-2</v>
      </c>
    </row>
    <row r="71" spans="1:5">
      <c r="A71" t="s">
        <v>101</v>
      </c>
      <c r="D71">
        <f>1+(2*C20-1)*C22/(C20-1)</f>
        <v>11.594973336658979</v>
      </c>
    </row>
    <row r="75" spans="1:5">
      <c r="A75" t="s">
        <v>102</v>
      </c>
      <c r="E75">
        <f>(1+C22^2/(C20-1))^((C20+1)/2)</f>
        <v>173.90170982850756</v>
      </c>
    </row>
    <row r="79" spans="1:5">
      <c r="A79" t="s">
        <v>103</v>
      </c>
      <c r="E79">
        <f>D67*D71/E75</f>
        <v>2.2166377339830749E-3</v>
      </c>
    </row>
    <row r="83" spans="1:5">
      <c r="A83" t="s">
        <v>104</v>
      </c>
    </row>
    <row r="88" spans="1:5">
      <c r="A88" t="s">
        <v>105</v>
      </c>
      <c r="E88">
        <f>(C20-1)/(3*SQRT(2*C20*PI()))</f>
        <v>0.19947114020071635</v>
      </c>
    </row>
    <row r="92" spans="1:5">
      <c r="A92" t="s">
        <v>106</v>
      </c>
      <c r="E92">
        <f>(2*$C$20-1)/(6*SQRT(2*$C$20*PI()))</f>
        <v>0.23271633023416907</v>
      </c>
    </row>
    <row r="96" spans="1:5">
      <c r="A96" t="s">
        <v>107</v>
      </c>
      <c r="E96" s="53">
        <f>E92*AF54-E88*AM54</f>
        <v>9.0556833894663673E-3</v>
      </c>
    </row>
    <row r="99" spans="1:7">
      <c r="A99" t="s">
        <v>108</v>
      </c>
    </row>
    <row r="102" spans="1:7">
      <c r="A102" t="s">
        <v>109</v>
      </c>
      <c r="F102" s="53">
        <f>((C20-1)/24)*E54</f>
        <v>2.1987591791488197E-3</v>
      </c>
    </row>
    <row r="107" spans="1:7">
      <c r="A107" t="s">
        <v>110</v>
      </c>
      <c r="G107" s="53">
        <f>((C20-1)*(C20+2)/(12*C20))*M54</f>
        <v>6.3254900334540364E-4</v>
      </c>
    </row>
    <row r="111" spans="1:7">
      <c r="A111" t="s">
        <v>111</v>
      </c>
      <c r="G111" s="53">
        <f>((C20+4)*(C20-1)/(24*C20))*T54</f>
        <v>3.7556695497310518E-5</v>
      </c>
    </row>
    <row r="115" spans="1:7">
      <c r="A115" t="s">
        <v>103</v>
      </c>
      <c r="G115" s="53">
        <f>F102-G107+G111</f>
        <v>1.6037668713007266E-3</v>
      </c>
    </row>
    <row r="118" spans="1:7">
      <c r="A118" t="s">
        <v>112</v>
      </c>
    </row>
    <row r="123" spans="1:7">
      <c r="G123" s="53">
        <f>((C20-1)*(2*C20+5)/72)*E54</f>
        <v>9.5279564429782172E-3</v>
      </c>
    </row>
    <row r="124" spans="1:7">
      <c r="A124" t="s">
        <v>113</v>
      </c>
    </row>
    <row r="127" spans="1:7">
      <c r="G127" s="53">
        <f>((C20-1)*(2*C20^2+5*C20+8)/(24*C20))*M54</f>
        <v>3.1627450167270184E-3</v>
      </c>
    </row>
    <row r="128" spans="1:7">
      <c r="A128" t="s">
        <v>114</v>
      </c>
    </row>
    <row r="132" spans="1:10">
      <c r="A132" t="s">
        <v>115</v>
      </c>
      <c r="G132" s="53">
        <f>((C20-1)*(2*C20^2+5*C20+12)/(24*C20))*T54</f>
        <v>3.0045356397848414E-4</v>
      </c>
    </row>
    <row r="136" spans="1:10">
      <c r="A136" t="s">
        <v>116</v>
      </c>
      <c r="H136" s="53">
        <f>((C20-1)*(2*C20^2+5*C20+12)/(72*C20))*Z54</f>
        <v>1.0015118799282805E-4</v>
      </c>
    </row>
    <row r="141" spans="1:10">
      <c r="A141" t="s">
        <v>107</v>
      </c>
      <c r="C141" s="53">
        <f>G123-G127+G132-H136</f>
        <v>6.5655138022368553E-3</v>
      </c>
    </row>
    <row r="143" spans="1:10">
      <c r="A143" t="s">
        <v>117</v>
      </c>
      <c r="J143" s="55">
        <f>F57+H16*E96-H18*G115+(H16^2)*C141</f>
        <v>1.8781437744834002E-2</v>
      </c>
    </row>
  </sheetData>
  <mergeCells count="14">
    <mergeCell ref="A2:F2"/>
    <mergeCell ref="A7:H7"/>
    <mergeCell ref="A24:B24"/>
    <mergeCell ref="I24:J24"/>
    <mergeCell ref="P24:Q24"/>
    <mergeCell ref="AB24:AC24"/>
    <mergeCell ref="AI24:AJ24"/>
    <mergeCell ref="A32:E32"/>
    <mergeCell ref="I32:M32"/>
    <mergeCell ref="P32:T32"/>
    <mergeCell ref="V32:Z32"/>
    <mergeCell ref="AB32:AF32"/>
    <mergeCell ref="AI32:AM32"/>
    <mergeCell ref="V24:W24"/>
  </mergeCells>
  <pageMargins left="0.7" right="0.7" top="0.75" bottom="0.75" header="0.3" footer="0.3"/>
  <pageSetup orientation="portrait" r:id="rId1"/>
  <drawing r:id="rId2"/>
  <legacyDrawing r:id="rId3"/>
  <oleObjects>
    <oleObject progId="Equation.DSMT4" shapeId="7169" r:id="rId4"/>
    <oleObject progId="Equation.DSMT4" shapeId="7170" r:id="rId5"/>
    <oleObject progId="Equation.DSMT4" shapeId="7171" r:id="rId6"/>
    <oleObject progId="Equation.DSMT4" shapeId="7172" r:id="rId7"/>
    <oleObject progId="Equation.DSMT4" shapeId="7173" r:id="rId8"/>
    <oleObject progId="Equation.DSMT4" shapeId="7174" r:id="rId9"/>
    <oleObject progId="Equation.DSMT4" shapeId="7175" r:id="rId10"/>
    <oleObject progId="Equation.3" shapeId="7176" r:id="rId11"/>
    <oleObject progId="Equation.DSMT4" shapeId="7177" r:id="rId12"/>
    <oleObject progId="Equation.DSMT4" shapeId="7178" r:id="rId13"/>
    <oleObject progId="Equation.DSMT4" shapeId="7179" r:id="rId14"/>
    <oleObject progId="Equation.DSMT4" shapeId="7180" r:id="rId15"/>
    <oleObject progId="Equation.DSMT4" shapeId="7181" r:id="rId16"/>
    <oleObject progId="Equation.DSMT4" shapeId="7182" r:id="rId17"/>
    <oleObject progId="Equation.DSMT4" shapeId="7183" r:id="rId18"/>
    <oleObject progId="Equation.3" shapeId="7184" r:id="rId19"/>
    <oleObject progId="Equation.DSMT4" shapeId="7185" r:id="rId20"/>
    <oleObject progId="Equation.DSMT4" shapeId="7186" r:id="rId21"/>
    <oleObject progId="Equation.DSMT4" shapeId="7187" r:id="rId22"/>
    <oleObject progId="Equation.DSMT4" shapeId="7188" r:id="rId23"/>
    <oleObject progId="Equation.DSMT4" shapeId="7189" r:id="rId24"/>
    <oleObject progId="Equation.DSMT4" shapeId="7190" r:id="rId25"/>
    <oleObject progId="Equation.DSMT4" shapeId="7191" r:id="rId26"/>
    <oleObject progId="Equation.3" shapeId="7192" r:id="rId27"/>
    <oleObject progId="Equation.DSMT4" shapeId="7193" r:id="rId28"/>
    <oleObject progId="Equation.DSMT4" shapeId="7194" r:id="rId29"/>
    <oleObject progId="Equation.DSMT4" shapeId="7195" r:id="rId30"/>
    <oleObject progId="Equation.DSMT4" shapeId="7196" r:id="rId31"/>
    <oleObject progId="Equation.DSMT4" shapeId="7197" r:id="rId32"/>
    <oleObject progId="Equation.DSMT4" shapeId="7198" r:id="rId33"/>
    <oleObject progId="Equation.DSMT4" shapeId="7199" r:id="rId34"/>
    <oleObject progId="Equation.DSMT4" shapeId="7200" r:id="rId35"/>
    <oleObject progId="Equation.DSMT4" shapeId="7201" r:id="rId36"/>
    <oleObject progId="Equation.DSMT4" shapeId="7202" r:id="rId37"/>
    <oleObject progId="Equation.3" shapeId="7203" r:id="rId38"/>
    <oleObject progId="Equation.DSMT4" shapeId="7204" r:id="rId39"/>
    <oleObject progId="Equation.DSMT4" shapeId="7205" r:id="rId40"/>
    <oleObject progId="Equation.DSMT4" shapeId="7206" r:id="rId41"/>
    <oleObject progId="Equation.DSMT4" shapeId="7207" r:id="rId42"/>
    <oleObject progId="Equation.DSMT4" shapeId="7208" r:id="rId43"/>
    <oleObject progId="Equation.DSMT4" shapeId="7209" r:id="rId44"/>
    <oleObject progId="Equation.DSMT4" shapeId="7210" r:id="rId45"/>
    <oleObject progId="Equation.3" shapeId="7211" r:id="rId46"/>
    <oleObject progId="Equation.DSMT4" shapeId="7212" r:id="rId47"/>
    <oleObject progId="Equation.DSMT4" shapeId="7213" r:id="rId48"/>
    <oleObject progId="Equation.DSMT4" shapeId="7214" r:id="rId49"/>
    <oleObject progId="Equation.DSMT4" shapeId="7215" r:id="rId50"/>
    <oleObject progId="Equation.DSMT4" shapeId="7216" r:id="rId51"/>
    <oleObject progId="Equation.DSMT4" shapeId="7217" r:id="rId52"/>
    <oleObject progId="Equation.DSMT4" shapeId="7218" r:id="rId53"/>
    <oleObject progId="Equation.DSMT4" shapeId="7219" r:id="rId54"/>
    <oleObject progId="Equation.DSMT4" shapeId="7220" r:id="rId55"/>
    <oleObject progId="Equation.DSMT4" shapeId="7221" r:id="rId56"/>
    <oleObject progId="Equation.DSMT4" shapeId="7222" r:id="rId57"/>
    <oleObject progId="Equation.DSMT4" shapeId="7223" r:id="rId58"/>
    <oleObject progId="Equation.DSMT4" shapeId="7224" r:id="rId59"/>
    <oleObject progId="Equation.DSMT4" shapeId="7225" r:id="rId60"/>
    <oleObject progId="Equation.DSMT4" shapeId="7226" r:id="rId61"/>
    <oleObject progId="Equation.DSMT4" shapeId="7227" r:id="rId62"/>
    <oleObject progId="Equation.DSMT4" shapeId="7228" r:id="rId63"/>
    <oleObject progId="Equation.DSMT4" shapeId="7229" r:id="rId64"/>
    <oleObject progId="Equation.DSMT4" shapeId="7230" r:id="rId65"/>
    <oleObject progId="Equation.DSMT4" shapeId="7231" r:id="rId66"/>
    <oleObject progId="Equation.DSMT4" shapeId="7232" r:id="rId67"/>
    <oleObject progId="Equation.DSMT4" shapeId="7233" r:id="rId68"/>
    <oleObject progId="Equation.3" shapeId="7234" r:id="rId69"/>
  </oleObjects>
</worksheet>
</file>

<file path=xl/worksheets/sheet11.xml><?xml version="1.0" encoding="utf-8"?>
<worksheet xmlns="http://schemas.openxmlformats.org/spreadsheetml/2006/main" xmlns:r="http://schemas.openxmlformats.org/officeDocument/2006/relationships">
  <sheetPr>
    <tabColor rgb="FF00B050"/>
  </sheetPr>
  <dimension ref="A2:AM143"/>
  <sheetViews>
    <sheetView workbookViewId="0"/>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65" t="s">
        <v>118</v>
      </c>
      <c r="B2" s="465"/>
      <c r="C2" s="465"/>
      <c r="D2" s="465"/>
      <c r="E2" s="465"/>
      <c r="F2" s="465"/>
      <c r="I2" s="39" t="s">
        <v>119</v>
      </c>
      <c r="J2">
        <f>'Recalculate t-stat'!H5</f>
        <v>5.0807028585681335</v>
      </c>
      <c r="L2" t="s">
        <v>120</v>
      </c>
      <c r="M2">
        <f>1/(1+$J$2^2/(C20-1))</f>
        <v>0.10411771132476538</v>
      </c>
    </row>
    <row r="7" spans="1:13">
      <c r="A7" s="488" t="s">
        <v>40</v>
      </c>
      <c r="B7" s="488"/>
      <c r="C7" s="488"/>
      <c r="D7" s="488"/>
      <c r="E7" s="488"/>
      <c r="F7" s="488"/>
      <c r="G7" s="488"/>
      <c r="H7" s="488"/>
    </row>
    <row r="9" spans="1:13">
      <c r="A9" s="47" t="s">
        <v>41</v>
      </c>
      <c r="B9" s="47"/>
      <c r="C9" s="47"/>
      <c r="D9" s="47"/>
      <c r="E9" s="47"/>
      <c r="F9" s="47"/>
      <c r="G9" s="47"/>
      <c r="H9" s="47"/>
    </row>
    <row r="13" spans="1:13">
      <c r="A13" s="48" t="s">
        <v>42</v>
      </c>
    </row>
    <row r="16" spans="1:13">
      <c r="A16" s="39" t="s">
        <v>43</v>
      </c>
      <c r="F16" t="s">
        <v>44</v>
      </c>
      <c r="H16" s="49">
        <f>'Template_nonnormal '!B44</f>
        <v>0.38755049291912408</v>
      </c>
    </row>
    <row r="18" spans="1:39">
      <c r="A18" s="39" t="s">
        <v>45</v>
      </c>
      <c r="C18">
        <f>M2</f>
        <v>0.10411771132476538</v>
      </c>
      <c r="F18" t="s">
        <v>46</v>
      </c>
      <c r="H18" s="49">
        <f>'Template_nonnormal '!B41</f>
        <v>-3.423662562692245</v>
      </c>
    </row>
    <row r="20" spans="1:39">
      <c r="A20" s="39" t="s">
        <v>47</v>
      </c>
      <c r="C20">
        <f>'Template_nonnormal '!$J$107</f>
        <v>4</v>
      </c>
    </row>
    <row r="22" spans="1:39">
      <c r="A22" t="s">
        <v>48</v>
      </c>
      <c r="C22">
        <f>'Template_nonnormal '!H102</f>
        <v>4.5407028585681335</v>
      </c>
    </row>
    <row r="24" spans="1:39">
      <c r="A24" s="488" t="s">
        <v>49</v>
      </c>
      <c r="B24" s="488"/>
      <c r="I24" s="488" t="s">
        <v>50</v>
      </c>
      <c r="J24" s="488"/>
      <c r="P24" s="488" t="s">
        <v>51</v>
      </c>
      <c r="Q24" s="488"/>
      <c r="V24" s="488" t="s">
        <v>52</v>
      </c>
      <c r="W24" s="488"/>
      <c r="AB24" s="488" t="s">
        <v>53</v>
      </c>
      <c r="AC24" s="488"/>
      <c r="AI24" s="488" t="s">
        <v>169</v>
      </c>
      <c r="AJ24" s="488"/>
    </row>
    <row r="26" spans="1:39">
      <c r="A26" s="39" t="s">
        <v>54</v>
      </c>
      <c r="B26">
        <f>($C$20-1)/2</f>
        <v>1.5</v>
      </c>
      <c r="I26" s="39" t="s">
        <v>54</v>
      </c>
      <c r="J26">
        <f>($C$20+1)/2</f>
        <v>2.5</v>
      </c>
      <c r="P26" s="39" t="s">
        <v>54</v>
      </c>
      <c r="Q26">
        <f>($C$20+3)/2</f>
        <v>3.5</v>
      </c>
      <c r="V26" s="39" t="s">
        <v>54</v>
      </c>
      <c r="W26">
        <f>($C$20+3)/2</f>
        <v>3.5</v>
      </c>
      <c r="AB26" s="39" t="s">
        <v>54</v>
      </c>
      <c r="AC26">
        <f>($C$20-1)/2</f>
        <v>1.5</v>
      </c>
      <c r="AI26" s="39" t="s">
        <v>54</v>
      </c>
      <c r="AJ26">
        <f>($C$20+1)/2</f>
        <v>2.5</v>
      </c>
    </row>
    <row r="28" spans="1:39">
      <c r="A28" s="39" t="s">
        <v>55</v>
      </c>
      <c r="B28">
        <f>1/2</f>
        <v>0.5</v>
      </c>
      <c r="C28" s="49"/>
      <c r="I28" s="39" t="s">
        <v>55</v>
      </c>
      <c r="J28">
        <f>1/2</f>
        <v>0.5</v>
      </c>
      <c r="P28" s="39" t="s">
        <v>55</v>
      </c>
      <c r="Q28">
        <f>1/2</f>
        <v>0.5</v>
      </c>
      <c r="V28" s="39" t="s">
        <v>55</v>
      </c>
      <c r="W28">
        <f>1/2</f>
        <v>0.5</v>
      </c>
      <c r="AB28" s="39" t="s">
        <v>55</v>
      </c>
      <c r="AC28">
        <v>1</v>
      </c>
      <c r="AI28" s="39" t="s">
        <v>55</v>
      </c>
      <c r="AJ28">
        <v>1</v>
      </c>
    </row>
    <row r="29" spans="1:39">
      <c r="A29" s="50"/>
      <c r="B29" s="50"/>
      <c r="C29" s="51"/>
      <c r="I29" s="50"/>
      <c r="J29" s="50"/>
      <c r="P29" s="50"/>
      <c r="Q29" s="50"/>
      <c r="V29" s="50"/>
      <c r="W29" s="50"/>
      <c r="AB29" s="50"/>
      <c r="AC29" s="50"/>
      <c r="AI29" s="50"/>
      <c r="AJ29" s="50"/>
    </row>
    <row r="30" spans="1:39">
      <c r="A30" s="39" t="s">
        <v>56</v>
      </c>
      <c r="B30" s="50">
        <f>B28*($C$18/(1-$C$18))</f>
        <v>5.8109035439648578E-2</v>
      </c>
      <c r="C30" s="51"/>
      <c r="I30" s="39" t="s">
        <v>56</v>
      </c>
      <c r="J30" s="50">
        <f>J28*($C$18/(1-$C$18))</f>
        <v>5.8109035439648578E-2</v>
      </c>
      <c r="P30" s="39" t="s">
        <v>56</v>
      </c>
      <c r="Q30" s="50">
        <f>Q28*($C$18/(1-$C$18))</f>
        <v>5.8109035439648578E-2</v>
      </c>
      <c r="V30" s="39" t="s">
        <v>56</v>
      </c>
      <c r="W30" s="50">
        <f>W28*($C$18/(1-$C$18))</f>
        <v>5.8109035439648578E-2</v>
      </c>
      <c r="AB30" s="39" t="s">
        <v>56</v>
      </c>
      <c r="AC30" s="50">
        <f>AC28*($C$18/(1-$C$18))</f>
        <v>0.11621807087929716</v>
      </c>
      <c r="AI30" s="39" t="s">
        <v>56</v>
      </c>
      <c r="AJ30" s="50">
        <f>AJ28*($C$18/(1-$C$18))</f>
        <v>0.11621807087929716</v>
      </c>
    </row>
    <row r="32" spans="1:39">
      <c r="A32" s="488" t="s">
        <v>57</v>
      </c>
      <c r="B32" s="488"/>
      <c r="C32" s="488"/>
      <c r="D32" s="488"/>
      <c r="E32" s="488"/>
      <c r="I32" s="488" t="s">
        <v>57</v>
      </c>
      <c r="J32" s="488"/>
      <c r="K32" s="488"/>
      <c r="L32" s="488"/>
      <c r="M32" s="488"/>
      <c r="P32" s="488" t="s">
        <v>57</v>
      </c>
      <c r="Q32" s="488"/>
      <c r="R32" s="488"/>
      <c r="S32" s="488"/>
      <c r="T32" s="488"/>
      <c r="V32" s="488" t="s">
        <v>57</v>
      </c>
      <c r="W32" s="488"/>
      <c r="X32" s="488"/>
      <c r="Y32" s="488"/>
      <c r="Z32" s="488"/>
      <c r="AB32" s="488" t="s">
        <v>57</v>
      </c>
      <c r="AC32" s="488"/>
      <c r="AD32" s="488"/>
      <c r="AE32" s="488"/>
      <c r="AF32" s="488"/>
      <c r="AI32" s="488" t="s">
        <v>57</v>
      </c>
      <c r="AJ32" s="488"/>
      <c r="AK32" s="488"/>
      <c r="AL32" s="488"/>
      <c r="AM32" s="488"/>
    </row>
    <row r="34" spans="1:39">
      <c r="A34" t="s">
        <v>58</v>
      </c>
      <c r="C34" s="52">
        <f>GAMMADIST($B$30,$B$26, 1, TRUE)</f>
        <v>1.0177422508745307E-2</v>
      </c>
      <c r="I34" t="s">
        <v>59</v>
      </c>
      <c r="K34" s="52">
        <f>GAMMADIST($J$30,$J$26, 1, TRUE)</f>
        <v>2.3498507960015118E-4</v>
      </c>
      <c r="P34" t="s">
        <v>60</v>
      </c>
      <c r="R34" s="52">
        <f>GAMMADIST($Q$30,$Q$26, 1, TRUE)</f>
        <v>3.8868999477929176E-6</v>
      </c>
      <c r="V34" t="s">
        <v>61</v>
      </c>
      <c r="X34" s="52">
        <f>GAMMADIST($W$30,$W$26, 1, TRUE)</f>
        <v>3.8868999477929176E-6</v>
      </c>
      <c r="AB34" t="s">
        <v>62</v>
      </c>
      <c r="AD34" s="52">
        <f>GAMMADIST($AC$30,$AC$26, 1, TRUE)</f>
        <v>2.7809447857123387E-2</v>
      </c>
      <c r="AI34" t="s">
        <v>161</v>
      </c>
      <c r="AK34" s="52">
        <f>GAMMADIST($AJ$30,$AJ$26, 1, TRUE)</f>
        <v>1.2755271684581182E-3</v>
      </c>
    </row>
    <row r="36" spans="1:39">
      <c r="A36" t="s">
        <v>63</v>
      </c>
      <c r="C36">
        <f>EXP(GAMMALN($B$26))</f>
        <v>0.88622692539526249</v>
      </c>
      <c r="I36" t="s">
        <v>64</v>
      </c>
      <c r="K36">
        <f>EXP(GAMMALN($J$26))</f>
        <v>1.3293403880407133</v>
      </c>
      <c r="P36" t="s">
        <v>65</v>
      </c>
      <c r="R36">
        <f>EXP(GAMMALN($Q$26))</f>
        <v>3.3233509700025894</v>
      </c>
      <c r="V36" t="s">
        <v>66</v>
      </c>
      <c r="X36">
        <f>EXP(GAMMALN($W$26))</f>
        <v>3.3233509700025894</v>
      </c>
      <c r="AB36" t="s">
        <v>67</v>
      </c>
      <c r="AD36">
        <f>EXP(GAMMALN($AC$26))</f>
        <v>0.88622692539526249</v>
      </c>
      <c r="AI36" t="s">
        <v>162</v>
      </c>
      <c r="AK36">
        <f>EXP(GAMMALN($AJ$26))</f>
        <v>1.3293403880407133</v>
      </c>
    </row>
    <row r="38" spans="1:39">
      <c r="A38" t="s">
        <v>68</v>
      </c>
      <c r="C38">
        <f>EXP(-$B$30)*$B$30^$B$26/$C$36</f>
        <v>1.4913656150751062E-2</v>
      </c>
      <c r="I38" t="s">
        <v>69</v>
      </c>
      <c r="K38">
        <f>EXP(-$J$30)*$J$30^$J$26/$K$36</f>
        <v>5.7774544922182917E-4</v>
      </c>
      <c r="P38" t="s">
        <v>70</v>
      </c>
      <c r="R38">
        <f>EXP(-$Q$30)*$Q$30^$Q$26/$R$36</f>
        <v>1.3428892313971604E-5</v>
      </c>
      <c r="V38" t="s">
        <v>71</v>
      </c>
      <c r="X38">
        <f>EXP(-$W$30)*$W$30^$W$26/$X$36</f>
        <v>1.3428892313971604E-5</v>
      </c>
      <c r="AB38" t="s">
        <v>72</v>
      </c>
      <c r="AD38">
        <f>EXP(-$AC$30)*$AC$30^$AC$26/$AD$36</f>
        <v>3.9800881042362166E-2</v>
      </c>
      <c r="AI38" t="s">
        <v>163</v>
      </c>
      <c r="AK38">
        <f>EXP(-$AJ$30)*$AJ$30^$AJ$26/$AK$36</f>
        <v>3.0837210761475251E-3</v>
      </c>
    </row>
    <row r="41" spans="1:39">
      <c r="A41" t="s">
        <v>73</v>
      </c>
      <c r="C41">
        <f>($B$26-1-$B$30)/(2*$B$28)</f>
        <v>0.44189096456035143</v>
      </c>
      <c r="I41" t="s">
        <v>74</v>
      </c>
      <c r="K41">
        <f>($J$26-1-$J$30)/(2*$J$28)</f>
        <v>1.4418909645603515</v>
      </c>
      <c r="P41" t="s">
        <v>75</v>
      </c>
      <c r="R41">
        <f>($Q$26-1-$Q$30)/(2*$Q$28)</f>
        <v>2.4418909645603515</v>
      </c>
      <c r="V41" t="s">
        <v>76</v>
      </c>
      <c r="X41">
        <f>($W$26-1-$W$30)/(2*$W$28)</f>
        <v>2.4418909645603515</v>
      </c>
      <c r="AB41" t="s">
        <v>77</v>
      </c>
      <c r="AD41">
        <f>($AC$26-1-$AC$30)/(2*$AC$28)</f>
        <v>0.19189096456035143</v>
      </c>
      <c r="AI41" t="s">
        <v>164</v>
      </c>
      <c r="AK41">
        <f>($AJ$26-1-$AJ$30)/(2*$AJ$28)</f>
        <v>0.69189096456035137</v>
      </c>
    </row>
    <row r="43" spans="1:39">
      <c r="A43" t="s">
        <v>78</v>
      </c>
      <c r="E43">
        <f>($B$26^3/2-5*$B$26^2/3+3*$B$26/2-(1/3))</f>
        <v>-0.14583333333333331</v>
      </c>
      <c r="I43" t="s">
        <v>79</v>
      </c>
      <c r="M43">
        <f>($J$26^3/2-5*$J$26^2/3+3*$J$26/2-(1/3))</f>
        <v>0.81250000000000067</v>
      </c>
      <c r="P43" t="s">
        <v>80</v>
      </c>
      <c r="T43">
        <f>($Q$26^3/2-5*$Q$26^2/3+3*$Q$26/2-(1/3))</f>
        <v>5.9374999999999991</v>
      </c>
      <c r="V43" t="s">
        <v>81</v>
      </c>
      <c r="Z43">
        <f>($W$26^3/2-5*$W$26^2/3+3*$W$26/2-(1/3))</f>
        <v>5.9374999999999991</v>
      </c>
      <c r="AB43" t="s">
        <v>82</v>
      </c>
      <c r="AF43">
        <f>($AC$26^3/2-5*$AC$26^2/3+3*$AC$26/2-(1/3))</f>
        <v>-0.14583333333333331</v>
      </c>
      <c r="AI43" t="s">
        <v>165</v>
      </c>
      <c r="AM43">
        <f>($AJ$26^3/2-5*$AJ$26^2/3+3*$AJ$26/2-(1/3))</f>
        <v>0.81250000000000067</v>
      </c>
    </row>
    <row r="47" spans="1:39">
      <c r="A47" t="s">
        <v>83</v>
      </c>
      <c r="E47">
        <f>B30*(3*$B$26^2/2-11*$B$26/6+(1/3))</f>
        <v>5.5687825629663214E-2</v>
      </c>
      <c r="I47" t="s">
        <v>84</v>
      </c>
      <c r="M47">
        <f>$J$30*(3*$J$26^2/2-11*$J$26/6+(1/3))</f>
        <v>0.29780880662819897</v>
      </c>
      <c r="P47" t="s">
        <v>85</v>
      </c>
      <c r="T47">
        <f>$Q$30*(3*$Q$26^2/2-11*$Q$26/6+(1/3))</f>
        <v>0.71425689394568037</v>
      </c>
      <c r="V47" t="s">
        <v>86</v>
      </c>
      <c r="Z47">
        <f>$W$30*(3*$W$26^2/2-11*$W$26/6+(1/3))</f>
        <v>0.71425689394568037</v>
      </c>
      <c r="AB47" t="s">
        <v>87</v>
      </c>
      <c r="AF47">
        <f>$AC$30*(3*$AC$26^2/2-11*$AC$26/6+(1/3))</f>
        <v>0.11137565125932643</v>
      </c>
      <c r="AI47" t="s">
        <v>166</v>
      </c>
      <c r="AM47">
        <f>$AJ$30*(3*$AJ$26^2/2-11*$AJ$26/6+(1/3))</f>
        <v>0.59561761325639795</v>
      </c>
    </row>
    <row r="50" spans="1:39">
      <c r="A50" t="s">
        <v>88</v>
      </c>
      <c r="E50" s="53">
        <f>B30^2*(3*$B$26/2-(1/6))</f>
        <v>7.034708332763197E-3</v>
      </c>
      <c r="I50" t="s">
        <v>89</v>
      </c>
      <c r="M50" s="53">
        <f>J30^2*(3*$J$26/2-(1/6))</f>
        <v>1.2099698332352698E-2</v>
      </c>
      <c r="P50" t="s">
        <v>90</v>
      </c>
      <c r="T50" s="53">
        <f>Q30^2*(3*$Q$26/2-(1/6))</f>
        <v>1.71646883319422E-2</v>
      </c>
      <c r="V50" t="s">
        <v>91</v>
      </c>
      <c r="Z50" s="53">
        <f>W30^2*(3*$W$26/2-(1/6))</f>
        <v>1.71646883319422E-2</v>
      </c>
      <c r="AB50" t="s">
        <v>92</v>
      </c>
      <c r="AF50" s="53">
        <f>AC30^2*(3*$AC$26/2-(1/6))</f>
        <v>2.8138833331052788E-2</v>
      </c>
      <c r="AI50" t="s">
        <v>167</v>
      </c>
      <c r="AM50" s="53">
        <f>AJ30^2*(3*$AJ$26/2-(1/6))</f>
        <v>4.8398793329410793E-2</v>
      </c>
    </row>
    <row r="54" spans="1:39">
      <c r="A54" t="s">
        <v>93</v>
      </c>
      <c r="E54" s="53">
        <f>C34/C36+C38*(C41+(1/(2*$B$28)^2)*(E43-E47+E50-B30^3/2))</f>
        <v>1.5172234247778426E-2</v>
      </c>
      <c r="I54" t="s">
        <v>94</v>
      </c>
      <c r="M54" s="53">
        <f>K34/K36+K38*(K41+(1/(2*$J$28)^2)*(M43-M47+M50-J30^3/2))</f>
        <v>1.314108481369141E-3</v>
      </c>
      <c r="P54" t="s">
        <v>95</v>
      </c>
      <c r="T54" s="53">
        <f>R34/R36+R38*(R41+(1/(2*$Q$28)^2)*(T43-T47+T50-Q30^3/2))</f>
        <v>1.0433301779992427E-4</v>
      </c>
      <c r="V54" t="s">
        <v>96</v>
      </c>
      <c r="Z54" s="53">
        <f>X34/X36+X38*(X41+(1/(2*$W$28)^2)*(Z43-Z47+Z50-W30^3/2))</f>
        <v>1.0433301779992427E-4</v>
      </c>
      <c r="AB54" t="s">
        <v>97</v>
      </c>
      <c r="AF54" s="53">
        <f>AD34/AD36+AD38*(AD41+(1/(2*$AC$28)^2)*(AF43-AF47+AF50-AC30^3/2))</f>
        <v>3.6729923097627883E-2</v>
      </c>
      <c r="AI54" t="s">
        <v>168</v>
      </c>
      <c r="AM54" s="53">
        <f>AK34/AK36+AK38*(AK41+(1/(2*$AC$28)^2)*(AM43-AM47+AM50-AJ30^3/2))</f>
        <v>3.2970258267509796E-3</v>
      </c>
    </row>
    <row r="57" spans="1:39">
      <c r="A57" t="s">
        <v>98</v>
      </c>
      <c r="F57" s="53">
        <f>(1/2)*$E$54</f>
        <v>7.586117123889213E-3</v>
      </c>
    </row>
    <row r="61" spans="1:39">
      <c r="A61" t="s">
        <v>99</v>
      </c>
    </row>
    <row r="67" spans="1:5">
      <c r="A67" t="s">
        <v>100</v>
      </c>
      <c r="D67">
        <f>1/(6*SQRT(2*$C$20*PI()))</f>
        <v>3.3245190033452728E-2</v>
      </c>
    </row>
    <row r="71" spans="1:5">
      <c r="A71" t="s">
        <v>101</v>
      </c>
      <c r="D71">
        <f>1+(2*C20-1)*C22/(C20-1)</f>
        <v>11.594973336658979</v>
      </c>
    </row>
    <row r="75" spans="1:5">
      <c r="A75" t="s">
        <v>102</v>
      </c>
      <c r="E75">
        <f>(1+C22^2/(C20-1))^((C20+1)/2)</f>
        <v>173.90170982850756</v>
      </c>
    </row>
    <row r="79" spans="1:5">
      <c r="A79" t="s">
        <v>103</v>
      </c>
      <c r="E79">
        <f>D67*D71/E75</f>
        <v>2.2166377339830749E-3</v>
      </c>
    </row>
    <row r="83" spans="1:5">
      <c r="A83" t="s">
        <v>104</v>
      </c>
    </row>
    <row r="88" spans="1:5">
      <c r="A88" t="s">
        <v>105</v>
      </c>
      <c r="E88">
        <f>(C20-1)/(3*SQRT(2*C20*PI()))</f>
        <v>0.19947114020071635</v>
      </c>
    </row>
    <row r="92" spans="1:5">
      <c r="A92" t="s">
        <v>106</v>
      </c>
      <c r="E92">
        <f>(2*$C$20-1)/(6*SQRT(2*$C$20*PI()))</f>
        <v>0.23271633023416907</v>
      </c>
    </row>
    <row r="96" spans="1:5">
      <c r="A96" t="s">
        <v>107</v>
      </c>
      <c r="E96" s="53">
        <f>E92*AF54-E88*AM54</f>
        <v>7.8899914121299767E-3</v>
      </c>
    </row>
    <row r="99" spans="1:7">
      <c r="A99" t="s">
        <v>108</v>
      </c>
    </row>
    <row r="102" spans="1:7">
      <c r="A102" t="s">
        <v>109</v>
      </c>
      <c r="F102" s="53">
        <f>((C20-1)/24)*E54</f>
        <v>1.8965292809723032E-3</v>
      </c>
    </row>
    <row r="107" spans="1:7">
      <c r="A107" t="s">
        <v>110</v>
      </c>
      <c r="G107" s="53">
        <f>((C20-1)*(C20+2)/(12*C20))*M54</f>
        <v>4.9279068051342784E-4</v>
      </c>
    </row>
    <row r="111" spans="1:7">
      <c r="A111" t="s">
        <v>111</v>
      </c>
      <c r="G111" s="53">
        <f>((C20+4)*(C20-1)/(24*C20))*T54</f>
        <v>2.6083254449981068E-5</v>
      </c>
    </row>
    <row r="115" spans="1:7">
      <c r="A115" t="s">
        <v>103</v>
      </c>
      <c r="G115" s="53">
        <f>F102-G107+G111</f>
        <v>1.4298218549088566E-3</v>
      </c>
    </row>
    <row r="118" spans="1:7">
      <c r="A118" t="s">
        <v>112</v>
      </c>
    </row>
    <row r="123" spans="1:7">
      <c r="G123" s="53">
        <f>((C20-1)*(2*C20+5)/72)*E54</f>
        <v>8.2182935508799803E-3</v>
      </c>
    </row>
    <row r="124" spans="1:7">
      <c r="A124" t="s">
        <v>113</v>
      </c>
    </row>
    <row r="127" spans="1:7">
      <c r="G127" s="53">
        <f>((C20-1)*(2*C20^2+5*C20+8)/(24*C20))*M54</f>
        <v>2.4639534025671394E-3</v>
      </c>
    </row>
    <row r="128" spans="1:7">
      <c r="A128" t="s">
        <v>114</v>
      </c>
    </row>
    <row r="132" spans="1:10">
      <c r="A132" t="s">
        <v>115</v>
      </c>
      <c r="G132" s="53">
        <f>((C20-1)*(2*C20^2+5*C20+12)/(24*C20))*T54</f>
        <v>2.0866603559984855E-4</v>
      </c>
    </row>
    <row r="136" spans="1:10">
      <c r="A136" t="s">
        <v>116</v>
      </c>
      <c r="H136" s="53">
        <f>((C20-1)*(2*C20^2+5*C20+12)/(72*C20))*Z54</f>
        <v>6.9555345199949511E-5</v>
      </c>
    </row>
    <row r="141" spans="1:10">
      <c r="A141" t="s">
        <v>107</v>
      </c>
      <c r="C141" s="53">
        <f>G123-G127+G132-H136</f>
        <v>5.8934508387127405E-3</v>
      </c>
    </row>
    <row r="143" spans="1:10">
      <c r="A143" t="s">
        <v>117</v>
      </c>
      <c r="J143" s="55">
        <f>F57+H16*E96-H18*G115+(H16^2)*C141</f>
        <v>1.6424283855875327E-2</v>
      </c>
    </row>
  </sheetData>
  <mergeCells count="14">
    <mergeCell ref="A2:F2"/>
    <mergeCell ref="A7:H7"/>
    <mergeCell ref="A24:B24"/>
    <mergeCell ref="I24:J24"/>
    <mergeCell ref="P24:Q24"/>
    <mergeCell ref="AB24:AC24"/>
    <mergeCell ref="AI24:AJ24"/>
    <mergeCell ref="A32:E32"/>
    <mergeCell ref="I32:M32"/>
    <mergeCell ref="P32:T32"/>
    <mergeCell ref="V32:Z32"/>
    <mergeCell ref="AB32:AF32"/>
    <mergeCell ref="AI32:AM32"/>
    <mergeCell ref="V24:W24"/>
  </mergeCells>
  <pageMargins left="0.7" right="0.7" top="0.75" bottom="0.75" header="0.3" footer="0.3"/>
  <pageSetup orientation="portrait" r:id="rId1"/>
  <drawing r:id="rId2"/>
  <legacyDrawing r:id="rId3"/>
  <oleObjects>
    <oleObject progId="Equation.DSMT4" shapeId="8193" r:id="rId4"/>
    <oleObject progId="Equation.DSMT4" shapeId="8194" r:id="rId5"/>
    <oleObject progId="Equation.DSMT4" shapeId="8195" r:id="rId6"/>
    <oleObject progId="Equation.DSMT4" shapeId="8196" r:id="rId7"/>
    <oleObject progId="Equation.DSMT4" shapeId="8197" r:id="rId8"/>
    <oleObject progId="Equation.DSMT4" shapeId="8198" r:id="rId9"/>
    <oleObject progId="Equation.DSMT4" shapeId="8199" r:id="rId10"/>
    <oleObject progId="Equation.3" shapeId="8200" r:id="rId11"/>
    <oleObject progId="Equation.DSMT4" shapeId="8201" r:id="rId12"/>
    <oleObject progId="Equation.DSMT4" shapeId="8202" r:id="rId13"/>
    <oleObject progId="Equation.DSMT4" shapeId="8203" r:id="rId14"/>
    <oleObject progId="Equation.DSMT4" shapeId="8204" r:id="rId15"/>
    <oleObject progId="Equation.DSMT4" shapeId="8205" r:id="rId16"/>
    <oleObject progId="Equation.DSMT4" shapeId="8206" r:id="rId17"/>
    <oleObject progId="Equation.DSMT4" shapeId="8207" r:id="rId18"/>
    <oleObject progId="Equation.3" shapeId="8208" r:id="rId19"/>
    <oleObject progId="Equation.DSMT4" shapeId="8209" r:id="rId20"/>
    <oleObject progId="Equation.DSMT4" shapeId="8210" r:id="rId21"/>
    <oleObject progId="Equation.DSMT4" shapeId="8211" r:id="rId22"/>
    <oleObject progId="Equation.DSMT4" shapeId="8212" r:id="rId23"/>
    <oleObject progId="Equation.DSMT4" shapeId="8213" r:id="rId24"/>
    <oleObject progId="Equation.DSMT4" shapeId="8214" r:id="rId25"/>
    <oleObject progId="Equation.DSMT4" shapeId="8215" r:id="rId26"/>
    <oleObject progId="Equation.3" shapeId="8216" r:id="rId27"/>
    <oleObject progId="Equation.DSMT4" shapeId="8217" r:id="rId28"/>
    <oleObject progId="Equation.DSMT4" shapeId="8218" r:id="rId29"/>
    <oleObject progId="Equation.DSMT4" shapeId="8219" r:id="rId30"/>
    <oleObject progId="Equation.DSMT4" shapeId="8220" r:id="rId31"/>
    <oleObject progId="Equation.DSMT4" shapeId="8221" r:id="rId32"/>
    <oleObject progId="Equation.DSMT4" shapeId="8222" r:id="rId33"/>
    <oleObject progId="Equation.DSMT4" shapeId="8223" r:id="rId34"/>
    <oleObject progId="Equation.DSMT4" shapeId="8224" r:id="rId35"/>
    <oleObject progId="Equation.DSMT4" shapeId="8225" r:id="rId36"/>
    <oleObject progId="Equation.DSMT4" shapeId="8226" r:id="rId37"/>
    <oleObject progId="Equation.3" shapeId="8227" r:id="rId38"/>
    <oleObject progId="Equation.DSMT4" shapeId="8228" r:id="rId39"/>
    <oleObject progId="Equation.DSMT4" shapeId="8229" r:id="rId40"/>
    <oleObject progId="Equation.DSMT4" shapeId="8230" r:id="rId41"/>
    <oleObject progId="Equation.DSMT4" shapeId="8231" r:id="rId42"/>
    <oleObject progId="Equation.DSMT4" shapeId="8232" r:id="rId43"/>
    <oleObject progId="Equation.DSMT4" shapeId="8233" r:id="rId44"/>
    <oleObject progId="Equation.DSMT4" shapeId="8234" r:id="rId45"/>
    <oleObject progId="Equation.3" shapeId="8235" r:id="rId46"/>
    <oleObject progId="Equation.DSMT4" shapeId="8236" r:id="rId47"/>
    <oleObject progId="Equation.DSMT4" shapeId="8237" r:id="rId48"/>
    <oleObject progId="Equation.DSMT4" shapeId="8238" r:id="rId49"/>
    <oleObject progId="Equation.DSMT4" shapeId="8239" r:id="rId50"/>
    <oleObject progId="Equation.DSMT4" shapeId="8240" r:id="rId51"/>
    <oleObject progId="Equation.DSMT4" shapeId="8241" r:id="rId52"/>
    <oleObject progId="Equation.DSMT4" shapeId="8242" r:id="rId53"/>
    <oleObject progId="Equation.DSMT4" shapeId="8243" r:id="rId54"/>
    <oleObject progId="Equation.DSMT4" shapeId="8244" r:id="rId55"/>
    <oleObject progId="Equation.DSMT4" shapeId="8245" r:id="rId56"/>
    <oleObject progId="Equation.DSMT4" shapeId="8246" r:id="rId57"/>
    <oleObject progId="Equation.DSMT4" shapeId="8247" r:id="rId58"/>
    <oleObject progId="Equation.DSMT4" shapeId="8248" r:id="rId59"/>
    <oleObject progId="Equation.DSMT4" shapeId="8249" r:id="rId60"/>
    <oleObject progId="Equation.DSMT4" shapeId="8250" r:id="rId61"/>
    <oleObject progId="Equation.DSMT4" shapeId="8251" r:id="rId62"/>
    <oleObject progId="Equation.DSMT4" shapeId="8252" r:id="rId63"/>
    <oleObject progId="Equation.DSMT4" shapeId="8253" r:id="rId64"/>
    <oleObject progId="Equation.DSMT4" shapeId="8254" r:id="rId65"/>
    <oleObject progId="Equation.DSMT4" shapeId="8255" r:id="rId66"/>
    <oleObject progId="Equation.DSMT4" shapeId="8256" r:id="rId67"/>
    <oleObject progId="Equation.DSMT4" shapeId="8257" r:id="rId68"/>
    <oleObject progId="Equation.3" shapeId="8258" r:id="rId69"/>
  </oleObjects>
</worksheet>
</file>

<file path=xl/worksheets/sheet12.xml><?xml version="1.0" encoding="utf-8"?>
<worksheet xmlns="http://schemas.openxmlformats.org/spreadsheetml/2006/main" xmlns:r="http://schemas.openxmlformats.org/officeDocument/2006/relationships">
  <sheetPr>
    <tabColor rgb="FF00B050"/>
  </sheetPr>
  <dimension ref="A2:AM143"/>
  <sheetViews>
    <sheetView workbookViewId="0"/>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65" t="s">
        <v>118</v>
      </c>
      <c r="B2" s="465"/>
      <c r="C2" s="465"/>
      <c r="D2" s="465"/>
      <c r="E2" s="465"/>
      <c r="F2" s="465"/>
      <c r="I2" s="39" t="s">
        <v>119</v>
      </c>
      <c r="J2">
        <f>'Recalculate t-stat'!I5</f>
        <v>5.350702858568134</v>
      </c>
      <c r="L2" t="s">
        <v>120</v>
      </c>
      <c r="M2">
        <f>1/(1+$J$2^2/(C20-1))</f>
        <v>9.4846601345819653E-2</v>
      </c>
    </row>
    <row r="7" spans="1:13">
      <c r="A7" s="488" t="s">
        <v>40</v>
      </c>
      <c r="B7" s="488"/>
      <c r="C7" s="488"/>
      <c r="D7" s="488"/>
      <c r="E7" s="488"/>
      <c r="F7" s="488"/>
      <c r="G7" s="488"/>
      <c r="H7" s="488"/>
    </row>
    <row r="9" spans="1:13">
      <c r="A9" s="47" t="s">
        <v>41</v>
      </c>
      <c r="B9" s="47"/>
      <c r="C9" s="47"/>
      <c r="D9" s="47"/>
      <c r="E9" s="47"/>
      <c r="F9" s="47"/>
      <c r="G9" s="47"/>
      <c r="H9" s="47"/>
    </row>
    <row r="13" spans="1:13">
      <c r="A13" s="48" t="s">
        <v>42</v>
      </c>
    </row>
    <row r="16" spans="1:13">
      <c r="A16" s="39" t="s">
        <v>43</v>
      </c>
      <c r="F16" t="s">
        <v>44</v>
      </c>
      <c r="H16" s="49">
        <f>'Template_nonnormal '!B44</f>
        <v>0.38755049291912408</v>
      </c>
    </row>
    <row r="18" spans="1:39">
      <c r="A18" s="39" t="s">
        <v>45</v>
      </c>
      <c r="C18">
        <f>M2</f>
        <v>9.4846601345819653E-2</v>
      </c>
      <c r="F18" t="s">
        <v>46</v>
      </c>
      <c r="H18" s="49">
        <f>'Template_nonnormal '!B41</f>
        <v>-3.423662562692245</v>
      </c>
    </row>
    <row r="20" spans="1:39">
      <c r="A20" s="39" t="s">
        <v>47</v>
      </c>
      <c r="C20">
        <f>'Template_nonnormal '!$J$107</f>
        <v>4</v>
      </c>
    </row>
    <row r="22" spans="1:39">
      <c r="A22" t="s">
        <v>48</v>
      </c>
      <c r="C22">
        <f>'Template_nonnormal '!H102</f>
        <v>4.5407028585681335</v>
      </c>
    </row>
    <row r="24" spans="1:39">
      <c r="A24" s="488" t="s">
        <v>49</v>
      </c>
      <c r="B24" s="488"/>
      <c r="I24" s="488" t="s">
        <v>50</v>
      </c>
      <c r="J24" s="488"/>
      <c r="P24" s="488" t="s">
        <v>51</v>
      </c>
      <c r="Q24" s="488"/>
      <c r="V24" s="488" t="s">
        <v>52</v>
      </c>
      <c r="W24" s="488"/>
      <c r="AB24" s="488" t="s">
        <v>53</v>
      </c>
      <c r="AC24" s="488"/>
      <c r="AI24" s="488" t="s">
        <v>169</v>
      </c>
      <c r="AJ24" s="488"/>
    </row>
    <row r="26" spans="1:39">
      <c r="A26" s="39" t="s">
        <v>54</v>
      </c>
      <c r="B26">
        <f>($C$20-1)/2</f>
        <v>1.5</v>
      </c>
      <c r="I26" s="39" t="s">
        <v>54</v>
      </c>
      <c r="J26">
        <f>($C$20+1)/2</f>
        <v>2.5</v>
      </c>
      <c r="P26" s="39" t="s">
        <v>54</v>
      </c>
      <c r="Q26">
        <f>($C$20+3)/2</f>
        <v>3.5</v>
      </c>
      <c r="V26" s="39" t="s">
        <v>54</v>
      </c>
      <c r="W26">
        <f>($C$20+3)/2</f>
        <v>3.5</v>
      </c>
      <c r="AB26" s="39" t="s">
        <v>54</v>
      </c>
      <c r="AC26">
        <f>($C$20-1)/2</f>
        <v>1.5</v>
      </c>
      <c r="AI26" s="39" t="s">
        <v>54</v>
      </c>
      <c r="AJ26">
        <f>($C$20+1)/2</f>
        <v>2.5</v>
      </c>
    </row>
    <row r="28" spans="1:39">
      <c r="A28" s="39" t="s">
        <v>55</v>
      </c>
      <c r="B28">
        <f>1/2</f>
        <v>0.5</v>
      </c>
      <c r="C28" s="49"/>
      <c r="I28" s="39" t="s">
        <v>55</v>
      </c>
      <c r="J28">
        <f>1/2</f>
        <v>0.5</v>
      </c>
      <c r="P28" s="39" t="s">
        <v>55</v>
      </c>
      <c r="Q28">
        <f>1/2</f>
        <v>0.5</v>
      </c>
      <c r="V28" s="39" t="s">
        <v>55</v>
      </c>
      <c r="W28">
        <f>1/2</f>
        <v>0.5</v>
      </c>
      <c r="AB28" s="39" t="s">
        <v>55</v>
      </c>
      <c r="AC28">
        <v>1</v>
      </c>
      <c r="AI28" s="39" t="s">
        <v>55</v>
      </c>
      <c r="AJ28">
        <v>1</v>
      </c>
    </row>
    <row r="29" spans="1:39">
      <c r="A29" s="50"/>
      <c r="B29" s="50"/>
      <c r="C29" s="51"/>
      <c r="I29" s="50"/>
      <c r="J29" s="50"/>
      <c r="P29" s="50"/>
      <c r="Q29" s="50"/>
      <c r="V29" s="50"/>
      <c r="W29" s="50"/>
      <c r="AB29" s="50"/>
      <c r="AC29" s="50"/>
      <c r="AI29" s="50"/>
      <c r="AJ29" s="50"/>
    </row>
    <row r="30" spans="1:39">
      <c r="A30" s="39" t="s">
        <v>56</v>
      </c>
      <c r="B30" s="50">
        <f>B28*($C$18/(1-$C$18))</f>
        <v>5.2392556602472863E-2</v>
      </c>
      <c r="C30" s="51"/>
      <c r="I30" s="39" t="s">
        <v>56</v>
      </c>
      <c r="J30" s="50">
        <f>J28*($C$18/(1-$C$18))</f>
        <v>5.2392556602472863E-2</v>
      </c>
      <c r="P30" s="39" t="s">
        <v>56</v>
      </c>
      <c r="Q30" s="50">
        <f>Q28*($C$18/(1-$C$18))</f>
        <v>5.2392556602472863E-2</v>
      </c>
      <c r="V30" s="39" t="s">
        <v>56</v>
      </c>
      <c r="W30" s="50">
        <f>W28*($C$18/(1-$C$18))</f>
        <v>5.2392556602472863E-2</v>
      </c>
      <c r="AB30" s="39" t="s">
        <v>56</v>
      </c>
      <c r="AC30" s="50">
        <f>AC28*($C$18/(1-$C$18))</f>
        <v>0.10478511320494573</v>
      </c>
      <c r="AI30" s="39" t="s">
        <v>56</v>
      </c>
      <c r="AJ30" s="50">
        <f>AJ28*($C$18/(1-$C$18))</f>
        <v>0.10478511320494573</v>
      </c>
    </row>
    <row r="32" spans="1:39">
      <c r="A32" s="488" t="s">
        <v>57</v>
      </c>
      <c r="B32" s="488"/>
      <c r="C32" s="488"/>
      <c r="D32" s="488"/>
      <c r="E32" s="488"/>
      <c r="I32" s="488" t="s">
        <v>57</v>
      </c>
      <c r="J32" s="488"/>
      <c r="K32" s="488"/>
      <c r="L32" s="488"/>
      <c r="M32" s="488"/>
      <c r="P32" s="488" t="s">
        <v>57</v>
      </c>
      <c r="Q32" s="488"/>
      <c r="R32" s="488"/>
      <c r="S32" s="488"/>
      <c r="T32" s="488"/>
      <c r="V32" s="488" t="s">
        <v>57</v>
      </c>
      <c r="W32" s="488"/>
      <c r="X32" s="488"/>
      <c r="Y32" s="488"/>
      <c r="Z32" s="488"/>
      <c r="AB32" s="488" t="s">
        <v>57</v>
      </c>
      <c r="AC32" s="488"/>
      <c r="AD32" s="488"/>
      <c r="AE32" s="488"/>
      <c r="AF32" s="488"/>
      <c r="AI32" s="488" t="s">
        <v>57</v>
      </c>
      <c r="AJ32" s="488"/>
      <c r="AK32" s="488"/>
      <c r="AL32" s="488"/>
      <c r="AM32" s="488"/>
    </row>
    <row r="34" spans="1:39">
      <c r="A34" t="s">
        <v>58</v>
      </c>
      <c r="C34" s="52">
        <f>GAMMADIST($B$30,$B$26, 1, TRUE)</f>
        <v>8.742926834102268E-3</v>
      </c>
      <c r="I34" t="s">
        <v>59</v>
      </c>
      <c r="K34" s="52">
        <f>GAMMADIST($J$30,$J$26, 1, TRUE)</f>
        <v>1.8212608943858348E-4</v>
      </c>
      <c r="P34" t="s">
        <v>60</v>
      </c>
      <c r="R34" s="52">
        <f>GAMMADIST($Q$30,$Q$26, 1, TRUE)</f>
        <v>2.7171943670158637E-6</v>
      </c>
      <c r="V34" t="s">
        <v>61</v>
      </c>
      <c r="X34" s="52">
        <f>GAMMADIST($W$30,$W$26, 1, TRUE)</f>
        <v>2.7171943670158637E-6</v>
      </c>
      <c r="AB34" t="s">
        <v>62</v>
      </c>
      <c r="AD34" s="52">
        <f>GAMMADIST($AC$30,$AC$26, 1, TRUE)</f>
        <v>2.3970252704978233E-2</v>
      </c>
      <c r="AI34" t="s">
        <v>161</v>
      </c>
      <c r="AK34" s="52">
        <f>GAMMADIST($AJ$30,$AJ$26, 1, TRUE)</f>
        <v>9.9260406344410176E-4</v>
      </c>
    </row>
    <row r="36" spans="1:39">
      <c r="A36" t="s">
        <v>63</v>
      </c>
      <c r="C36">
        <f>EXP(GAMMALN($B$26))</f>
        <v>0.88622692539526249</v>
      </c>
      <c r="I36" t="s">
        <v>64</v>
      </c>
      <c r="K36">
        <f>EXP(GAMMALN($J$26))</f>
        <v>1.3293403880407133</v>
      </c>
      <c r="P36" t="s">
        <v>65</v>
      </c>
      <c r="R36">
        <f>EXP(GAMMALN($Q$26))</f>
        <v>3.3233509700025894</v>
      </c>
      <c r="V36" t="s">
        <v>66</v>
      </c>
      <c r="X36">
        <f>EXP(GAMMALN($W$26))</f>
        <v>3.3233509700025894</v>
      </c>
      <c r="AB36" t="s">
        <v>67</v>
      </c>
      <c r="AD36">
        <f>EXP(GAMMALN($AC$26))</f>
        <v>0.88622692539526249</v>
      </c>
      <c r="AI36" t="s">
        <v>162</v>
      </c>
      <c r="AK36">
        <f>EXP(GAMMALN($AJ$26))</f>
        <v>1.3293403880407133</v>
      </c>
    </row>
    <row r="38" spans="1:39">
      <c r="A38" t="s">
        <v>68</v>
      </c>
      <c r="C38">
        <f>EXP(-$B$30)*$B$30^$B$26/$C$36</f>
        <v>1.2841201120607531E-2</v>
      </c>
      <c r="I38" t="s">
        <v>69</v>
      </c>
      <c r="K38">
        <f>EXP(-$J$30)*$J$30^$J$26/$K$36</f>
        <v>4.4852223772105066E-4</v>
      </c>
      <c r="P38" t="s">
        <v>70</v>
      </c>
      <c r="R38">
        <f>EXP(-$Q$30)*$Q$30^$Q$26/$R$36</f>
        <v>9.3996906911877383E-6</v>
      </c>
      <c r="V38" t="s">
        <v>71</v>
      </c>
      <c r="X38">
        <f>EXP(-$W$30)*$W$30^$W$26/$X$36</f>
        <v>9.3996906911877383E-6</v>
      </c>
      <c r="AB38" t="s">
        <v>72</v>
      </c>
      <c r="AD38">
        <f>EXP(-$AC$30)*$AC$30^$AC$26/$AD$36</f>
        <v>3.4466472962359641E-2</v>
      </c>
      <c r="AI38" t="s">
        <v>163</v>
      </c>
      <c r="AK38">
        <f>EXP(-$AJ$30)*$AJ$30^$AJ$26/$AK$36</f>
        <v>2.4077155141852143E-3</v>
      </c>
    </row>
    <row r="41" spans="1:39">
      <c r="A41" t="s">
        <v>73</v>
      </c>
      <c r="C41">
        <f>($B$26-1-$B$30)/(2*$B$28)</f>
        <v>0.44760744339752712</v>
      </c>
      <c r="I41" t="s">
        <v>74</v>
      </c>
      <c r="K41">
        <f>($J$26-1-$J$30)/(2*$J$28)</f>
        <v>1.4476074433975272</v>
      </c>
      <c r="P41" t="s">
        <v>75</v>
      </c>
      <c r="R41">
        <f>($Q$26-1-$Q$30)/(2*$Q$28)</f>
        <v>2.4476074433975272</v>
      </c>
      <c r="V41" t="s">
        <v>76</v>
      </c>
      <c r="X41">
        <f>($W$26-1-$W$30)/(2*$W$28)</f>
        <v>2.4476074433975272</v>
      </c>
      <c r="AB41" t="s">
        <v>77</v>
      </c>
      <c r="AD41">
        <f>($AC$26-1-$AC$30)/(2*$AC$28)</f>
        <v>0.19760744339752714</v>
      </c>
      <c r="AI41" t="s">
        <v>164</v>
      </c>
      <c r="AK41">
        <f>($AJ$26-1-$AJ$30)/(2*$AJ$28)</f>
        <v>0.69760744339752712</v>
      </c>
    </row>
    <row r="43" spans="1:39">
      <c r="A43" t="s">
        <v>78</v>
      </c>
      <c r="E43">
        <f>($B$26^3/2-5*$B$26^2/3+3*$B$26/2-(1/3))</f>
        <v>-0.14583333333333331</v>
      </c>
      <c r="I43" t="s">
        <v>79</v>
      </c>
      <c r="M43">
        <f>($J$26^3/2-5*$J$26^2/3+3*$J$26/2-(1/3))</f>
        <v>0.81250000000000067</v>
      </c>
      <c r="P43" t="s">
        <v>80</v>
      </c>
      <c r="T43">
        <f>($Q$26^3/2-5*$Q$26^2/3+3*$Q$26/2-(1/3))</f>
        <v>5.9374999999999991</v>
      </c>
      <c r="V43" t="s">
        <v>81</v>
      </c>
      <c r="Z43">
        <f>($W$26^3/2-5*$W$26^2/3+3*$W$26/2-(1/3))</f>
        <v>5.9374999999999991</v>
      </c>
      <c r="AB43" t="s">
        <v>82</v>
      </c>
      <c r="AF43">
        <f>($AC$26^3/2-5*$AC$26^2/3+3*$AC$26/2-(1/3))</f>
        <v>-0.14583333333333331</v>
      </c>
      <c r="AI43" t="s">
        <v>165</v>
      </c>
      <c r="AM43">
        <f>($AJ$26^3/2-5*$AJ$26^2/3+3*$AJ$26/2-(1/3))</f>
        <v>0.81250000000000067</v>
      </c>
    </row>
    <row r="47" spans="1:39">
      <c r="A47" t="s">
        <v>83</v>
      </c>
      <c r="E47">
        <f>B30*(3*$B$26^2/2-11*$B$26/6+(1/3))</f>
        <v>5.020953341070316E-2</v>
      </c>
      <c r="I47" t="s">
        <v>84</v>
      </c>
      <c r="M47">
        <f>$J$30*(3*$J$26^2/2-11*$J$26/6+(1/3))</f>
        <v>0.26851185258767341</v>
      </c>
      <c r="P47" t="s">
        <v>85</v>
      </c>
      <c r="T47">
        <f>$Q$30*(3*$Q$26^2/2-11*$Q$26/6+(1/3))</f>
        <v>0.64399184157206224</v>
      </c>
      <c r="V47" t="s">
        <v>86</v>
      </c>
      <c r="Z47">
        <f>$W$30*(3*$W$26^2/2-11*$W$26/6+(1/3))</f>
        <v>0.64399184157206224</v>
      </c>
      <c r="AB47" t="s">
        <v>87</v>
      </c>
      <c r="AF47">
        <f>$AC$30*(3*$AC$26^2/2-11*$AC$26/6+(1/3))</f>
        <v>0.10041906682140632</v>
      </c>
      <c r="AI47" t="s">
        <v>166</v>
      </c>
      <c r="AM47">
        <f>$AJ$30*(3*$AJ$26^2/2-11*$AJ$26/6+(1/3))</f>
        <v>0.53702370517534681</v>
      </c>
    </row>
    <row r="50" spans="1:39">
      <c r="A50" t="s">
        <v>88</v>
      </c>
      <c r="E50" s="53">
        <f>B30^2*(3*$B$26/2-(1/6))</f>
        <v>5.7187083069652565E-3</v>
      </c>
      <c r="I50" t="s">
        <v>89</v>
      </c>
      <c r="M50" s="53">
        <f>J30^2*(3*$J$26/2-(1/6))</f>
        <v>9.8361782879802413E-3</v>
      </c>
      <c r="P50" t="s">
        <v>90</v>
      </c>
      <c r="T50" s="53">
        <f>Q30^2*(3*$Q$26/2-(1/6))</f>
        <v>1.3953648268995223E-2</v>
      </c>
      <c r="V50" t="s">
        <v>91</v>
      </c>
      <c r="Z50" s="53">
        <f>W30^2*(3*$W$26/2-(1/6))</f>
        <v>1.3953648268995223E-2</v>
      </c>
      <c r="AB50" t="s">
        <v>92</v>
      </c>
      <c r="AF50" s="53">
        <f>AC30^2*(3*$AC$26/2-(1/6))</f>
        <v>2.2874833227861026E-2</v>
      </c>
      <c r="AI50" t="s">
        <v>167</v>
      </c>
      <c r="AM50" s="53">
        <f>AJ30^2*(3*$AJ$26/2-(1/6))</f>
        <v>3.9344713151920965E-2</v>
      </c>
    </row>
    <row r="54" spans="1:39">
      <c r="A54" t="s">
        <v>93</v>
      </c>
      <c r="E54" s="53">
        <f>C34/C36+C38*(C41+(1/(2*$B$28)^2)*(E43-E47+E50-B30^3/2))</f>
        <v>1.3168239518404366E-2</v>
      </c>
      <c r="I54" t="s">
        <v>94</v>
      </c>
      <c r="M54" s="53">
        <f>K34/K36+K38*(K41+(1/(2*$J$28)^2)*(M43-M47+M50-J30^3/2))</f>
        <v>1.0346592600205338E-3</v>
      </c>
      <c r="P54" t="s">
        <v>95</v>
      </c>
      <c r="T54" s="53">
        <f>R34/R36+R38*(R41+(1/(2*$Q$28)^2)*(T43-T47+T50-Q30^3/2))</f>
        <v>7.3712183128790224E-5</v>
      </c>
      <c r="V54" t="s">
        <v>96</v>
      </c>
      <c r="Z54" s="53">
        <f>X34/X36+X38*(X41+(1/(2*$W$28)^2)*(Z43-Z47+Z50-W30^3/2))</f>
        <v>7.3712183128790224E-5</v>
      </c>
      <c r="AB54" t="s">
        <v>97</v>
      </c>
      <c r="AF54" s="53">
        <f>AD34/AD36+AD38*(AD41+(1/(2*$AC$28)^2)*(AF43-AF47+AF50-AC30^3/2))</f>
        <v>3.1928649323192157E-2</v>
      </c>
      <c r="AI54" t="s">
        <v>168</v>
      </c>
      <c r="AM54" s="53">
        <f>AK34/AK36+AK38*(AK41+(1/(2*$AC$28)^2)*(AM43-AM47+AM50-AJ30^3/2))</f>
        <v>2.6154830156094786E-3</v>
      </c>
    </row>
    <row r="57" spans="1:39">
      <c r="A57" t="s">
        <v>98</v>
      </c>
      <c r="F57" s="53">
        <f>(1/2)*$E$54</f>
        <v>6.5841197592021831E-3</v>
      </c>
    </row>
    <row r="61" spans="1:39">
      <c r="A61" t="s">
        <v>99</v>
      </c>
    </row>
    <row r="67" spans="1:5">
      <c r="A67" t="s">
        <v>100</v>
      </c>
      <c r="D67">
        <f>1/(6*SQRT(2*$C$20*PI()))</f>
        <v>3.3245190033452728E-2</v>
      </c>
    </row>
    <row r="71" spans="1:5">
      <c r="A71" t="s">
        <v>101</v>
      </c>
      <c r="D71">
        <f>1+(2*C20-1)*C22/(C20-1)</f>
        <v>11.594973336658979</v>
      </c>
    </row>
    <row r="75" spans="1:5">
      <c r="A75" t="s">
        <v>102</v>
      </c>
      <c r="E75">
        <f>(1+C22^2/(C20-1))^((C20+1)/2)</f>
        <v>173.90170982850756</v>
      </c>
    </row>
    <row r="79" spans="1:5">
      <c r="A79" t="s">
        <v>103</v>
      </c>
      <c r="E79">
        <f>D67*D71/E75</f>
        <v>2.2166377339830749E-3</v>
      </c>
    </row>
    <row r="83" spans="1:5">
      <c r="A83" t="s">
        <v>104</v>
      </c>
    </row>
    <row r="88" spans="1:5">
      <c r="A88" t="s">
        <v>105</v>
      </c>
      <c r="E88">
        <f>(C20-1)/(3*SQRT(2*C20*PI()))</f>
        <v>0.19947114020071635</v>
      </c>
    </row>
    <row r="92" spans="1:5">
      <c r="A92" t="s">
        <v>106</v>
      </c>
      <c r="E92">
        <f>(2*$C$20-1)/(6*SQRT(2*$C$20*PI()))</f>
        <v>0.23271633023416907</v>
      </c>
    </row>
    <row r="96" spans="1:5">
      <c r="A96" t="s">
        <v>107</v>
      </c>
      <c r="E96" s="53">
        <f>E92*AF54-E88*AM54</f>
        <v>6.9086047205277343E-3</v>
      </c>
    </row>
    <row r="99" spans="1:7">
      <c r="A99" t="s">
        <v>108</v>
      </c>
    </row>
    <row r="102" spans="1:7">
      <c r="A102" t="s">
        <v>109</v>
      </c>
      <c r="F102" s="53">
        <f>((C20-1)/24)*E54</f>
        <v>1.6460299398005458E-3</v>
      </c>
    </row>
    <row r="107" spans="1:7">
      <c r="A107" t="s">
        <v>110</v>
      </c>
      <c r="G107" s="53">
        <f>((C20-1)*(C20+2)/(12*C20))*M54</f>
        <v>3.8799722250770015E-4</v>
      </c>
    </row>
    <row r="111" spans="1:7">
      <c r="A111" t="s">
        <v>111</v>
      </c>
      <c r="G111" s="53">
        <f>((C20+4)*(C20-1)/(24*C20))*T54</f>
        <v>1.8428045782197556E-5</v>
      </c>
    </row>
    <row r="115" spans="1:7">
      <c r="A115" t="s">
        <v>103</v>
      </c>
      <c r="G115" s="53">
        <f>F102-G107+G111</f>
        <v>1.2764607630750431E-3</v>
      </c>
    </row>
    <row r="118" spans="1:7">
      <c r="A118" t="s">
        <v>112</v>
      </c>
    </row>
    <row r="123" spans="1:7">
      <c r="G123" s="53">
        <f>((C20-1)*(2*C20+5)/72)*E54</f>
        <v>7.1327964058023642E-3</v>
      </c>
    </row>
    <row r="124" spans="1:7">
      <c r="A124" t="s">
        <v>113</v>
      </c>
    </row>
    <row r="127" spans="1:7">
      <c r="G127" s="53">
        <f>((C20-1)*(2*C20^2+5*C20+8)/(24*C20))*M54</f>
        <v>1.939986112538501E-3</v>
      </c>
    </row>
    <row r="128" spans="1:7">
      <c r="A128" t="s">
        <v>114</v>
      </c>
    </row>
    <row r="132" spans="1:10">
      <c r="A132" t="s">
        <v>115</v>
      </c>
      <c r="G132" s="53">
        <f>((C20-1)*(2*C20^2+5*C20+12)/(24*C20))*T54</f>
        <v>1.4742436625758045E-4</v>
      </c>
    </row>
    <row r="136" spans="1:10">
      <c r="A136" t="s">
        <v>116</v>
      </c>
      <c r="H136" s="53">
        <f>((C20-1)*(2*C20^2+5*C20+12)/(72*C20))*Z54</f>
        <v>4.9141455419193482E-5</v>
      </c>
    </row>
    <row r="141" spans="1:10">
      <c r="A141" t="s">
        <v>107</v>
      </c>
      <c r="C141" s="53">
        <f>G123-G127+G132-H136</f>
        <v>5.2910932041022509E-3</v>
      </c>
    </row>
    <row r="143" spans="1:10">
      <c r="A143" t="s">
        <v>117</v>
      </c>
      <c r="J143" s="55">
        <f>F57+H16*E96-H18*G115+(H16^2)*C141</f>
        <v>1.4426421629854455E-2</v>
      </c>
    </row>
  </sheetData>
  <mergeCells count="14">
    <mergeCell ref="A2:F2"/>
    <mergeCell ref="A7:H7"/>
    <mergeCell ref="A24:B24"/>
    <mergeCell ref="I24:J24"/>
    <mergeCell ref="P24:Q24"/>
    <mergeCell ref="AB24:AC24"/>
    <mergeCell ref="AI24:AJ24"/>
    <mergeCell ref="A32:E32"/>
    <mergeCell ref="I32:M32"/>
    <mergeCell ref="P32:T32"/>
    <mergeCell ref="V32:Z32"/>
    <mergeCell ref="AB32:AF32"/>
    <mergeCell ref="AI32:AM32"/>
    <mergeCell ref="V24:W24"/>
  </mergeCells>
  <pageMargins left="0.7" right="0.7" top="0.75" bottom="0.75" header="0.3" footer="0.3"/>
  <pageSetup orientation="portrait" r:id="rId1"/>
  <drawing r:id="rId2"/>
  <legacyDrawing r:id="rId3"/>
  <oleObjects>
    <oleObject progId="Equation.DSMT4" shapeId="9217" r:id="rId4"/>
    <oleObject progId="Equation.DSMT4" shapeId="9218" r:id="rId5"/>
    <oleObject progId="Equation.DSMT4" shapeId="9219" r:id="rId6"/>
    <oleObject progId="Equation.DSMT4" shapeId="9220" r:id="rId7"/>
    <oleObject progId="Equation.DSMT4" shapeId="9221" r:id="rId8"/>
    <oleObject progId="Equation.DSMT4" shapeId="9222" r:id="rId9"/>
    <oleObject progId="Equation.DSMT4" shapeId="9223" r:id="rId10"/>
    <oleObject progId="Equation.3" shapeId="9224" r:id="rId11"/>
    <oleObject progId="Equation.DSMT4" shapeId="9225" r:id="rId12"/>
    <oleObject progId="Equation.DSMT4" shapeId="9226" r:id="rId13"/>
    <oleObject progId="Equation.DSMT4" shapeId="9227" r:id="rId14"/>
    <oleObject progId="Equation.DSMT4" shapeId="9228" r:id="rId15"/>
    <oleObject progId="Equation.DSMT4" shapeId="9229" r:id="rId16"/>
    <oleObject progId="Equation.DSMT4" shapeId="9230" r:id="rId17"/>
    <oleObject progId="Equation.DSMT4" shapeId="9231" r:id="rId18"/>
    <oleObject progId="Equation.3" shapeId="9232" r:id="rId19"/>
    <oleObject progId="Equation.DSMT4" shapeId="9233" r:id="rId20"/>
    <oleObject progId="Equation.DSMT4" shapeId="9234" r:id="rId21"/>
    <oleObject progId="Equation.DSMT4" shapeId="9235" r:id="rId22"/>
    <oleObject progId="Equation.DSMT4" shapeId="9236" r:id="rId23"/>
    <oleObject progId="Equation.DSMT4" shapeId="9237" r:id="rId24"/>
    <oleObject progId="Equation.DSMT4" shapeId="9238" r:id="rId25"/>
    <oleObject progId="Equation.DSMT4" shapeId="9239" r:id="rId26"/>
    <oleObject progId="Equation.3" shapeId="9240" r:id="rId27"/>
    <oleObject progId="Equation.DSMT4" shapeId="9241" r:id="rId28"/>
    <oleObject progId="Equation.DSMT4" shapeId="9242" r:id="rId29"/>
    <oleObject progId="Equation.DSMT4" shapeId="9243" r:id="rId30"/>
    <oleObject progId="Equation.DSMT4" shapeId="9244" r:id="rId31"/>
    <oleObject progId="Equation.DSMT4" shapeId="9245" r:id="rId32"/>
    <oleObject progId="Equation.DSMT4" shapeId="9246" r:id="rId33"/>
    <oleObject progId="Equation.DSMT4" shapeId="9247" r:id="rId34"/>
    <oleObject progId="Equation.DSMT4" shapeId="9248" r:id="rId35"/>
    <oleObject progId="Equation.DSMT4" shapeId="9249" r:id="rId36"/>
    <oleObject progId="Equation.DSMT4" shapeId="9250" r:id="rId37"/>
    <oleObject progId="Equation.3" shapeId="9251" r:id="rId38"/>
    <oleObject progId="Equation.DSMT4" shapeId="9252" r:id="rId39"/>
    <oleObject progId="Equation.DSMT4" shapeId="9253" r:id="rId40"/>
    <oleObject progId="Equation.DSMT4" shapeId="9254" r:id="rId41"/>
    <oleObject progId="Equation.DSMT4" shapeId="9255" r:id="rId42"/>
    <oleObject progId="Equation.DSMT4" shapeId="9256" r:id="rId43"/>
    <oleObject progId="Equation.DSMT4" shapeId="9257" r:id="rId44"/>
    <oleObject progId="Equation.DSMT4" shapeId="9258" r:id="rId45"/>
    <oleObject progId="Equation.3" shapeId="9259" r:id="rId46"/>
    <oleObject progId="Equation.DSMT4" shapeId="9260" r:id="rId47"/>
    <oleObject progId="Equation.DSMT4" shapeId="9261" r:id="rId48"/>
    <oleObject progId="Equation.DSMT4" shapeId="9262" r:id="rId49"/>
    <oleObject progId="Equation.DSMT4" shapeId="9263" r:id="rId50"/>
    <oleObject progId="Equation.DSMT4" shapeId="9264" r:id="rId51"/>
    <oleObject progId="Equation.DSMT4" shapeId="9265" r:id="rId52"/>
    <oleObject progId="Equation.DSMT4" shapeId="9266" r:id="rId53"/>
    <oleObject progId="Equation.DSMT4" shapeId="9267" r:id="rId54"/>
    <oleObject progId="Equation.DSMT4" shapeId="9268" r:id="rId55"/>
    <oleObject progId="Equation.DSMT4" shapeId="9269" r:id="rId56"/>
    <oleObject progId="Equation.DSMT4" shapeId="9270" r:id="rId57"/>
    <oleObject progId="Equation.DSMT4" shapeId="9271" r:id="rId58"/>
    <oleObject progId="Equation.DSMT4" shapeId="9272" r:id="rId59"/>
    <oleObject progId="Equation.DSMT4" shapeId="9273" r:id="rId60"/>
    <oleObject progId="Equation.DSMT4" shapeId="9274" r:id="rId61"/>
    <oleObject progId="Equation.DSMT4" shapeId="9275" r:id="rId62"/>
    <oleObject progId="Equation.DSMT4" shapeId="9276" r:id="rId63"/>
    <oleObject progId="Equation.DSMT4" shapeId="9277" r:id="rId64"/>
    <oleObject progId="Equation.DSMT4" shapeId="9278" r:id="rId65"/>
    <oleObject progId="Equation.DSMT4" shapeId="9279" r:id="rId66"/>
    <oleObject progId="Equation.DSMT4" shapeId="9280" r:id="rId67"/>
    <oleObject progId="Equation.DSMT4" shapeId="9281" r:id="rId68"/>
    <oleObject progId="Equation.3" shapeId="9282" r:id="rId69"/>
  </oleObjects>
</worksheet>
</file>

<file path=xl/worksheets/sheet13.xml><?xml version="1.0" encoding="utf-8"?>
<worksheet xmlns="http://schemas.openxmlformats.org/spreadsheetml/2006/main" xmlns:r="http://schemas.openxmlformats.org/officeDocument/2006/relationships">
  <sheetPr>
    <tabColor rgb="FF00B050"/>
  </sheetPr>
  <dimension ref="A2:AM143"/>
  <sheetViews>
    <sheetView workbookViewId="0"/>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65" t="s">
        <v>118</v>
      </c>
      <c r="B2" s="465"/>
      <c r="C2" s="465"/>
      <c r="D2" s="465"/>
      <c r="E2" s="465"/>
      <c r="F2" s="465"/>
      <c r="I2" s="39" t="s">
        <v>119</v>
      </c>
      <c r="J2">
        <f>'Recalculate t-stat'!J5</f>
        <v>5.6207028585681336</v>
      </c>
      <c r="L2" t="s">
        <v>120</v>
      </c>
      <c r="M2">
        <f>1/(1+$J$2^2/(C20-1))</f>
        <v>8.6724500708438221E-2</v>
      </c>
    </row>
    <row r="7" spans="1:13">
      <c r="A7" s="488" t="s">
        <v>40</v>
      </c>
      <c r="B7" s="488"/>
      <c r="C7" s="488"/>
      <c r="D7" s="488"/>
      <c r="E7" s="488"/>
      <c r="F7" s="488"/>
      <c r="G7" s="488"/>
      <c r="H7" s="488"/>
    </row>
    <row r="9" spans="1:13">
      <c r="A9" s="47" t="s">
        <v>41</v>
      </c>
      <c r="B9" s="47"/>
      <c r="C9" s="47"/>
      <c r="D9" s="47"/>
      <c r="E9" s="47"/>
      <c r="F9" s="47"/>
      <c r="G9" s="47"/>
      <c r="H9" s="47"/>
    </row>
    <row r="13" spans="1:13">
      <c r="A13" s="48" t="s">
        <v>42</v>
      </c>
    </row>
    <row r="16" spans="1:13">
      <c r="A16" s="39" t="s">
        <v>43</v>
      </c>
      <c r="F16" t="s">
        <v>44</v>
      </c>
      <c r="H16" s="49">
        <f>'Template_nonnormal '!B44</f>
        <v>0.38755049291912408</v>
      </c>
    </row>
    <row r="18" spans="1:39">
      <c r="A18" s="39" t="s">
        <v>45</v>
      </c>
      <c r="C18">
        <f>M2</f>
        <v>8.6724500708438221E-2</v>
      </c>
      <c r="F18" t="s">
        <v>46</v>
      </c>
      <c r="H18" s="49">
        <f>'Template_nonnormal '!B41</f>
        <v>-3.423662562692245</v>
      </c>
    </row>
    <row r="20" spans="1:39">
      <c r="A20" s="39" t="s">
        <v>47</v>
      </c>
      <c r="C20">
        <f>'Template_nonnormal '!$J$107</f>
        <v>4</v>
      </c>
    </row>
    <row r="22" spans="1:39">
      <c r="A22" t="s">
        <v>48</v>
      </c>
      <c r="C22">
        <f>'Template_nonnormal '!H102</f>
        <v>4.5407028585681335</v>
      </c>
    </row>
    <row r="24" spans="1:39">
      <c r="A24" s="488" t="s">
        <v>49</v>
      </c>
      <c r="B24" s="488"/>
      <c r="I24" s="488" t="s">
        <v>50</v>
      </c>
      <c r="J24" s="488"/>
      <c r="P24" s="488" t="s">
        <v>51</v>
      </c>
      <c r="Q24" s="488"/>
      <c r="V24" s="488" t="s">
        <v>52</v>
      </c>
      <c r="W24" s="488"/>
      <c r="AB24" s="488" t="s">
        <v>53</v>
      </c>
      <c r="AC24" s="488"/>
      <c r="AI24" s="488" t="s">
        <v>169</v>
      </c>
      <c r="AJ24" s="488"/>
    </row>
    <row r="26" spans="1:39">
      <c r="A26" s="39" t="s">
        <v>54</v>
      </c>
      <c r="B26">
        <f>($C$20-1)/2</f>
        <v>1.5</v>
      </c>
      <c r="I26" s="39" t="s">
        <v>54</v>
      </c>
      <c r="J26">
        <f>($C$20+1)/2</f>
        <v>2.5</v>
      </c>
      <c r="P26" s="39" t="s">
        <v>54</v>
      </c>
      <c r="Q26">
        <f>($C$20+3)/2</f>
        <v>3.5</v>
      </c>
      <c r="V26" s="39" t="s">
        <v>54</v>
      </c>
      <c r="W26">
        <f>($C$20+3)/2</f>
        <v>3.5</v>
      </c>
      <c r="AB26" s="39" t="s">
        <v>54</v>
      </c>
      <c r="AC26">
        <f>($C$20-1)/2</f>
        <v>1.5</v>
      </c>
      <c r="AI26" s="39" t="s">
        <v>54</v>
      </c>
      <c r="AJ26">
        <f>($C$20+1)/2</f>
        <v>2.5</v>
      </c>
    </row>
    <row r="28" spans="1:39">
      <c r="A28" s="39" t="s">
        <v>55</v>
      </c>
      <c r="B28">
        <f>1/2</f>
        <v>0.5</v>
      </c>
      <c r="C28" s="49"/>
      <c r="I28" s="39" t="s">
        <v>55</v>
      </c>
      <c r="J28">
        <f>1/2</f>
        <v>0.5</v>
      </c>
      <c r="P28" s="39" t="s">
        <v>55</v>
      </c>
      <c r="Q28">
        <f>1/2</f>
        <v>0.5</v>
      </c>
      <c r="V28" s="39" t="s">
        <v>55</v>
      </c>
      <c r="W28">
        <f>1/2</f>
        <v>0.5</v>
      </c>
      <c r="AB28" s="39" t="s">
        <v>55</v>
      </c>
      <c r="AC28">
        <v>1</v>
      </c>
      <c r="AI28" s="39" t="s">
        <v>55</v>
      </c>
      <c r="AJ28">
        <v>1</v>
      </c>
    </row>
    <row r="29" spans="1:39">
      <c r="A29" s="50"/>
      <c r="B29" s="50"/>
      <c r="C29" s="51"/>
      <c r="I29" s="50"/>
      <c r="J29" s="50"/>
      <c r="P29" s="50"/>
      <c r="Q29" s="50"/>
      <c r="V29" s="50"/>
      <c r="W29" s="50"/>
      <c r="AB29" s="50"/>
      <c r="AC29" s="50"/>
      <c r="AI29" s="50"/>
      <c r="AJ29" s="50"/>
    </row>
    <row r="30" spans="1:39">
      <c r="A30" s="39" t="s">
        <v>56</v>
      </c>
      <c r="B30" s="50">
        <f>B28*($C$18/(1-$C$18))</f>
        <v>4.747992296722698E-2</v>
      </c>
      <c r="C30" s="51"/>
      <c r="I30" s="39" t="s">
        <v>56</v>
      </c>
      <c r="J30" s="50">
        <f>J28*($C$18/(1-$C$18))</f>
        <v>4.747992296722698E-2</v>
      </c>
      <c r="P30" s="39" t="s">
        <v>56</v>
      </c>
      <c r="Q30" s="50">
        <f>Q28*($C$18/(1-$C$18))</f>
        <v>4.747992296722698E-2</v>
      </c>
      <c r="V30" s="39" t="s">
        <v>56</v>
      </c>
      <c r="W30" s="50">
        <f>W28*($C$18/(1-$C$18))</f>
        <v>4.747992296722698E-2</v>
      </c>
      <c r="AB30" s="39" t="s">
        <v>56</v>
      </c>
      <c r="AC30" s="50">
        <f>AC28*($C$18/(1-$C$18))</f>
        <v>9.495984593445396E-2</v>
      </c>
      <c r="AI30" s="39" t="s">
        <v>56</v>
      </c>
      <c r="AJ30" s="50">
        <f>AJ28*($C$18/(1-$C$18))</f>
        <v>9.495984593445396E-2</v>
      </c>
    </row>
    <row r="32" spans="1:39">
      <c r="A32" s="488" t="s">
        <v>57</v>
      </c>
      <c r="B32" s="488"/>
      <c r="C32" s="488"/>
      <c r="D32" s="488"/>
      <c r="E32" s="488"/>
      <c r="I32" s="488" t="s">
        <v>57</v>
      </c>
      <c r="J32" s="488"/>
      <c r="K32" s="488"/>
      <c r="L32" s="488"/>
      <c r="M32" s="488"/>
      <c r="P32" s="488" t="s">
        <v>57</v>
      </c>
      <c r="Q32" s="488"/>
      <c r="R32" s="488"/>
      <c r="S32" s="488"/>
      <c r="T32" s="488"/>
      <c r="V32" s="488" t="s">
        <v>57</v>
      </c>
      <c r="W32" s="488"/>
      <c r="X32" s="488"/>
      <c r="Y32" s="488"/>
      <c r="Z32" s="488"/>
      <c r="AB32" s="488" t="s">
        <v>57</v>
      </c>
      <c r="AC32" s="488"/>
      <c r="AD32" s="488"/>
      <c r="AE32" s="488"/>
      <c r="AF32" s="488"/>
      <c r="AI32" s="488" t="s">
        <v>57</v>
      </c>
      <c r="AJ32" s="488"/>
      <c r="AK32" s="488"/>
      <c r="AL32" s="488"/>
      <c r="AM32" s="488"/>
    </row>
    <row r="34" spans="1:39">
      <c r="A34" t="s">
        <v>58</v>
      </c>
      <c r="C34" s="52">
        <f>GAMMADIST($B$30,$B$26, 1, TRUE)</f>
        <v>7.564674783336175E-3</v>
      </c>
      <c r="I34" t="s">
        <v>59</v>
      </c>
      <c r="K34" s="52">
        <f>GAMMADIST($J$30,$J$26, 1, TRUE)</f>
        <v>1.4288686176859477E-4</v>
      </c>
      <c r="P34" t="s">
        <v>60</v>
      </c>
      <c r="R34" s="52">
        <f>GAMMADIST($Q$30,$Q$26, 1, TRUE)</f>
        <v>1.9324942288553402E-6</v>
      </c>
      <c r="V34" t="s">
        <v>61</v>
      </c>
      <c r="X34" s="52">
        <f>GAMMADIST($W$30,$W$26, 1, TRUE)</f>
        <v>1.9324942288553402E-6</v>
      </c>
      <c r="AB34" t="s">
        <v>62</v>
      </c>
      <c r="AD34" s="52">
        <f>GAMMADIST($AC$30,$AC$26, 1, TRUE)</f>
        <v>2.080003763241739E-2</v>
      </c>
      <c r="AI34" t="s">
        <v>161</v>
      </c>
      <c r="AK34" s="52">
        <f>GAMMADIST($AJ$30,$AJ$26, 1, TRUE)</f>
        <v>7.814577590166289E-4</v>
      </c>
    </row>
    <row r="36" spans="1:39">
      <c r="A36" t="s">
        <v>63</v>
      </c>
      <c r="C36">
        <f>EXP(GAMMALN($B$26))</f>
        <v>0.88622692539526249</v>
      </c>
      <c r="I36" t="s">
        <v>64</v>
      </c>
      <c r="K36">
        <f>EXP(GAMMALN($J$26))</f>
        <v>1.3293403880407133</v>
      </c>
      <c r="P36" t="s">
        <v>65</v>
      </c>
      <c r="R36">
        <f>EXP(GAMMALN($Q$26))</f>
        <v>3.3233509700025894</v>
      </c>
      <c r="V36" t="s">
        <v>66</v>
      </c>
      <c r="X36">
        <f>EXP(GAMMALN($W$26))</f>
        <v>3.3233509700025894</v>
      </c>
      <c r="AB36" t="s">
        <v>67</v>
      </c>
      <c r="AD36">
        <f>EXP(GAMMALN($AC$26))</f>
        <v>0.88622692539526249</v>
      </c>
      <c r="AI36" t="s">
        <v>162</v>
      </c>
      <c r="AK36">
        <f>EXP(GAMMALN($AJ$26))</f>
        <v>1.3293403880407133</v>
      </c>
    </row>
    <row r="38" spans="1:39">
      <c r="A38" t="s">
        <v>68</v>
      </c>
      <c r="C38">
        <f>EXP(-$B$30)*$B$30^$B$26/$C$36</f>
        <v>1.1132681884268116E-2</v>
      </c>
      <c r="I38" t="s">
        <v>69</v>
      </c>
      <c r="K38">
        <f>EXP(-$J$30)*$J$30^$J$26/$K$36</f>
        <v>3.5238591886962783E-4</v>
      </c>
      <c r="P38" t="s">
        <v>70</v>
      </c>
      <c r="R38">
        <f>EXP(-$Q$30)*$Q$30^$Q$26/$R$36</f>
        <v>6.6925025132659251E-6</v>
      </c>
      <c r="V38" t="s">
        <v>71</v>
      </c>
      <c r="X38">
        <f>EXP(-$W$30)*$W$30^$W$26/$X$36</f>
        <v>6.6925025132659251E-6</v>
      </c>
      <c r="AB38" t="s">
        <v>72</v>
      </c>
      <c r="AD38">
        <f>EXP(-$AC$30)*$AC$30^$AC$26/$AD$36</f>
        <v>3.0027869810147149E-2</v>
      </c>
      <c r="AI38" t="s">
        <v>163</v>
      </c>
      <c r="AK38">
        <f>EXP(-$AJ$30)*$AJ$30^$AJ$26/$AK$36</f>
        <v>1.9009612606822285E-3</v>
      </c>
    </row>
    <row r="41" spans="1:39">
      <c r="A41" t="s">
        <v>73</v>
      </c>
      <c r="C41">
        <f>($B$26-1-$B$30)/(2*$B$28)</f>
        <v>0.45252007703277303</v>
      </c>
      <c r="I41" t="s">
        <v>74</v>
      </c>
      <c r="K41">
        <f>($J$26-1-$J$30)/(2*$J$28)</f>
        <v>1.4525200770327731</v>
      </c>
      <c r="P41" t="s">
        <v>75</v>
      </c>
      <c r="R41">
        <f>($Q$26-1-$Q$30)/(2*$Q$28)</f>
        <v>2.4525200770327729</v>
      </c>
      <c r="V41" t="s">
        <v>76</v>
      </c>
      <c r="X41">
        <f>($W$26-1-$W$30)/(2*$W$28)</f>
        <v>2.4525200770327729</v>
      </c>
      <c r="AB41" t="s">
        <v>77</v>
      </c>
      <c r="AD41">
        <f>($AC$26-1-$AC$30)/(2*$AC$28)</f>
        <v>0.20252007703277303</v>
      </c>
      <c r="AI41" t="s">
        <v>164</v>
      </c>
      <c r="AK41">
        <f>($AJ$26-1-$AJ$30)/(2*$AJ$28)</f>
        <v>0.70252007703277297</v>
      </c>
    </row>
    <row r="43" spans="1:39">
      <c r="A43" t="s">
        <v>78</v>
      </c>
      <c r="E43">
        <f>($B$26^3/2-5*$B$26^2/3+3*$B$26/2-(1/3))</f>
        <v>-0.14583333333333331</v>
      </c>
      <c r="I43" t="s">
        <v>79</v>
      </c>
      <c r="M43">
        <f>($J$26^3/2-5*$J$26^2/3+3*$J$26/2-(1/3))</f>
        <v>0.81250000000000067</v>
      </c>
      <c r="P43" t="s">
        <v>80</v>
      </c>
      <c r="T43">
        <f>($Q$26^3/2-5*$Q$26^2/3+3*$Q$26/2-(1/3))</f>
        <v>5.9374999999999991</v>
      </c>
      <c r="V43" t="s">
        <v>81</v>
      </c>
      <c r="Z43">
        <f>($W$26^3/2-5*$W$26^2/3+3*$W$26/2-(1/3))</f>
        <v>5.9374999999999991</v>
      </c>
      <c r="AB43" t="s">
        <v>82</v>
      </c>
      <c r="AF43">
        <f>($AC$26^3/2-5*$AC$26^2/3+3*$AC$26/2-(1/3))</f>
        <v>-0.14583333333333331</v>
      </c>
      <c r="AI43" t="s">
        <v>165</v>
      </c>
      <c r="AM43">
        <f>($AJ$26^3/2-5*$AJ$26^2/3+3*$AJ$26/2-(1/3))</f>
        <v>0.81250000000000067</v>
      </c>
    </row>
    <row r="47" spans="1:39">
      <c r="A47" t="s">
        <v>83</v>
      </c>
      <c r="E47">
        <f>B30*(3*$B$26^2/2-11*$B$26/6+(1/3))</f>
        <v>4.5501592843592516E-2</v>
      </c>
      <c r="I47" t="s">
        <v>84</v>
      </c>
      <c r="M47">
        <f>$J$30*(3*$J$26^2/2-11*$J$26/6+(1/3))</f>
        <v>0.24333460520703828</v>
      </c>
      <c r="P47" t="s">
        <v>85</v>
      </c>
      <c r="T47">
        <f>$Q$30*(3*$Q$26^2/2-11*$Q$26/6+(1/3))</f>
        <v>0.58360738647216492</v>
      </c>
      <c r="V47" t="s">
        <v>86</v>
      </c>
      <c r="Z47">
        <f>$W$30*(3*$W$26^2/2-11*$W$26/6+(1/3))</f>
        <v>0.58360738647216492</v>
      </c>
      <c r="AB47" t="s">
        <v>87</v>
      </c>
      <c r="AF47">
        <f>$AC$30*(3*$AC$26^2/2-11*$AC$26/6+(1/3))</f>
        <v>9.1003185687185031E-2</v>
      </c>
      <c r="AI47" t="s">
        <v>166</v>
      </c>
      <c r="AM47">
        <f>$AJ$30*(3*$AJ$26^2/2-11*$AJ$26/6+(1/3))</f>
        <v>0.48666921041407657</v>
      </c>
    </row>
    <row r="50" spans="1:39">
      <c r="A50" t="s">
        <v>88</v>
      </c>
      <c r="E50" s="53">
        <f>B30^2*(3*$B$26/2-(1/6))</f>
        <v>4.6965480936954343E-3</v>
      </c>
      <c r="I50" t="s">
        <v>89</v>
      </c>
      <c r="M50" s="53">
        <f>J30^2*(3*$J$26/2-(1/6))</f>
        <v>8.0780627211561457E-3</v>
      </c>
      <c r="P50" t="s">
        <v>90</v>
      </c>
      <c r="T50" s="53">
        <f>Q30^2*(3*$Q$26/2-(1/6))</f>
        <v>1.1459577348616858E-2</v>
      </c>
      <c r="V50" t="s">
        <v>91</v>
      </c>
      <c r="Z50" s="53">
        <f>W30^2*(3*$W$26/2-(1/6))</f>
        <v>1.1459577348616858E-2</v>
      </c>
      <c r="AB50" t="s">
        <v>92</v>
      </c>
      <c r="AF50" s="53">
        <f>AC30^2*(3*$AC$26/2-(1/6))</f>
        <v>1.8786192374781737E-2</v>
      </c>
      <c r="AI50" t="s">
        <v>167</v>
      </c>
      <c r="AM50" s="53">
        <f>AJ30^2*(3*$AJ$26/2-(1/6))</f>
        <v>3.2312250884624583E-2</v>
      </c>
    </row>
    <row r="54" spans="1:39">
      <c r="A54" t="s">
        <v>93</v>
      </c>
      <c r="E54" s="53">
        <f>C34/C36+C38*(C41+(1/(2*$B$28)^2)*(E43-E47+E50-B30^3/2))</f>
        <v>1.1495202006107517E-2</v>
      </c>
      <c r="I54" t="s">
        <v>94</v>
      </c>
      <c r="M54" s="53">
        <f>K34/K36+K38*(K41+(1/(2*$J$28)^2)*(M43-M47+M50-J30^3/2))</f>
        <v>8.2272826793883648E-4</v>
      </c>
      <c r="P54" t="s">
        <v>95</v>
      </c>
      <c r="T54" s="53">
        <f>R34/R36+R38*(R41+(1/(2*$Q$28)^2)*(T43-T47+T50-Q30^3/2))</f>
        <v>5.2902261292881723E-5</v>
      </c>
      <c r="V54" t="s">
        <v>96</v>
      </c>
      <c r="Z54" s="53">
        <f>X34/X36+X38*(X41+(1/(2*$W$28)^2)*(Z43-Z47+Z50-W30^3/2))</f>
        <v>5.2902261292881723E-5</v>
      </c>
      <c r="AB54" t="s">
        <v>97</v>
      </c>
      <c r="AF54" s="53">
        <f>AD34/AD36+AD38*(AD41+(1/(2*$AC$28)^2)*(AF43-AF47+AF50-AC30^3/2))</f>
        <v>2.7911464878527158E-2</v>
      </c>
      <c r="AI54" t="s">
        <v>168</v>
      </c>
      <c r="AM54" s="53">
        <f>AK34/AK36+AK38*(AK41+(1/(2*$AC$28)^2)*(AM43-AM47+AM50-AJ30^3/2))</f>
        <v>2.0933177615830838E-3</v>
      </c>
    </row>
    <row r="57" spans="1:39">
      <c r="A57" t="s">
        <v>98</v>
      </c>
      <c r="F57" s="53">
        <f>(1/2)*$E$54</f>
        <v>5.7476010030537584E-3</v>
      </c>
    </row>
    <row r="61" spans="1:39">
      <c r="A61" t="s">
        <v>99</v>
      </c>
    </row>
    <row r="67" spans="1:5">
      <c r="A67" t="s">
        <v>100</v>
      </c>
      <c r="D67">
        <f>1/(6*SQRT(2*$C$20*PI()))</f>
        <v>3.3245190033452728E-2</v>
      </c>
    </row>
    <row r="71" spans="1:5">
      <c r="A71" t="s">
        <v>101</v>
      </c>
      <c r="D71">
        <f>1+(2*C20-1)*C22/(C20-1)</f>
        <v>11.594973336658979</v>
      </c>
    </row>
    <row r="75" spans="1:5">
      <c r="A75" t="s">
        <v>102</v>
      </c>
      <c r="E75">
        <f>(1+C22^2/(C20-1))^((C20+1)/2)</f>
        <v>173.90170982850756</v>
      </c>
    </row>
    <row r="79" spans="1:5">
      <c r="A79" t="s">
        <v>103</v>
      </c>
      <c r="E79">
        <f>D67*D71/E75</f>
        <v>2.2166377339830749E-3</v>
      </c>
    </row>
    <row r="83" spans="1:5">
      <c r="A83" t="s">
        <v>104</v>
      </c>
    </row>
    <row r="88" spans="1:5">
      <c r="A88" t="s">
        <v>105</v>
      </c>
      <c r="E88">
        <f>(C20-1)/(3*SQRT(2*C20*PI()))</f>
        <v>0.19947114020071635</v>
      </c>
    </row>
    <row r="92" spans="1:5">
      <c r="A92" t="s">
        <v>106</v>
      </c>
      <c r="E92">
        <f>(2*$C$20-1)/(6*SQRT(2*$C$20*PI()))</f>
        <v>0.23271633023416907</v>
      </c>
    </row>
    <row r="96" spans="1:5">
      <c r="A96" t="s">
        <v>107</v>
      </c>
      <c r="E96" s="53">
        <f>E92*AF54-E88*AM54</f>
        <v>6.0778971972853492E-3</v>
      </c>
    </row>
    <row r="99" spans="1:7">
      <c r="A99" t="s">
        <v>108</v>
      </c>
    </row>
    <row r="102" spans="1:7">
      <c r="A102" t="s">
        <v>109</v>
      </c>
      <c r="F102" s="53">
        <f>((C20-1)/24)*E54</f>
        <v>1.4369002507634396E-3</v>
      </c>
    </row>
    <row r="107" spans="1:7">
      <c r="A107" t="s">
        <v>110</v>
      </c>
      <c r="G107" s="53">
        <f>((C20-1)*(C20+2)/(12*C20))*M54</f>
        <v>3.0852310047706368E-4</v>
      </c>
    </row>
    <row r="111" spans="1:7">
      <c r="A111" t="s">
        <v>111</v>
      </c>
      <c r="G111" s="53">
        <f>((C20+4)*(C20-1)/(24*C20))*T54</f>
        <v>1.3225565323220431E-5</v>
      </c>
    </row>
    <row r="115" spans="1:7">
      <c r="A115" t="s">
        <v>103</v>
      </c>
      <c r="G115" s="53">
        <f>F102-G107+G111</f>
        <v>1.1416027156095963E-3</v>
      </c>
    </row>
    <row r="118" spans="1:7">
      <c r="A118" t="s">
        <v>112</v>
      </c>
    </row>
    <row r="123" spans="1:7">
      <c r="G123" s="53">
        <f>((C20-1)*(2*C20+5)/72)*E54</f>
        <v>6.2265677533082375E-3</v>
      </c>
    </row>
    <row r="124" spans="1:7">
      <c r="A124" t="s">
        <v>113</v>
      </c>
    </row>
    <row r="127" spans="1:7">
      <c r="G127" s="53">
        <f>((C20-1)*(2*C20^2+5*C20+8)/(24*C20))*M54</f>
        <v>1.5426155023853185E-3</v>
      </c>
    </row>
    <row r="128" spans="1:7">
      <c r="A128" t="s">
        <v>114</v>
      </c>
    </row>
    <row r="132" spans="1:10">
      <c r="A132" t="s">
        <v>115</v>
      </c>
      <c r="G132" s="53">
        <f>((C20-1)*(2*C20^2+5*C20+12)/(24*C20))*T54</f>
        <v>1.0580452258576345E-4</v>
      </c>
    </row>
    <row r="136" spans="1:10">
      <c r="A136" t="s">
        <v>116</v>
      </c>
      <c r="H136" s="53">
        <f>((C20-1)*(2*C20^2+5*C20+12)/(72*C20))*Z54</f>
        <v>3.5268174195254482E-5</v>
      </c>
    </row>
    <row r="141" spans="1:10">
      <c r="A141" t="s">
        <v>107</v>
      </c>
      <c r="C141" s="53">
        <f>G123-G127+G132-H136</f>
        <v>4.754488599313429E-3</v>
      </c>
    </row>
    <row r="143" spans="1:10">
      <c r="A143" t="s">
        <v>117</v>
      </c>
      <c r="J143" s="55">
        <f>F57+H16*E96-H18*G115+(H16^2)*C141</f>
        <v>1.2725657780242674E-2</v>
      </c>
    </row>
  </sheetData>
  <mergeCells count="14">
    <mergeCell ref="A2:F2"/>
    <mergeCell ref="A7:H7"/>
    <mergeCell ref="A24:B24"/>
    <mergeCell ref="I24:J24"/>
    <mergeCell ref="P24:Q24"/>
    <mergeCell ref="AB24:AC24"/>
    <mergeCell ref="AI24:AJ24"/>
    <mergeCell ref="A32:E32"/>
    <mergeCell ref="I32:M32"/>
    <mergeCell ref="P32:T32"/>
    <mergeCell ref="V32:Z32"/>
    <mergeCell ref="AB32:AF32"/>
    <mergeCell ref="AI32:AM32"/>
    <mergeCell ref="V24:W24"/>
  </mergeCells>
  <pageMargins left="0.7" right="0.7" top="0.75" bottom="0.75" header="0.3" footer="0.3"/>
  <pageSetup orientation="portrait" r:id="rId1"/>
  <drawing r:id="rId2"/>
  <legacyDrawing r:id="rId3"/>
  <oleObjects>
    <oleObject progId="Equation.DSMT4" shapeId="10241" r:id="rId4"/>
    <oleObject progId="Equation.DSMT4" shapeId="10242" r:id="rId5"/>
    <oleObject progId="Equation.DSMT4" shapeId="10243" r:id="rId6"/>
    <oleObject progId="Equation.DSMT4" shapeId="10244" r:id="rId7"/>
    <oleObject progId="Equation.DSMT4" shapeId="10245" r:id="rId8"/>
    <oleObject progId="Equation.DSMT4" shapeId="10246" r:id="rId9"/>
    <oleObject progId="Equation.DSMT4" shapeId="10247" r:id="rId10"/>
    <oleObject progId="Equation.3" shapeId="10248" r:id="rId11"/>
    <oleObject progId="Equation.DSMT4" shapeId="10249" r:id="rId12"/>
    <oleObject progId="Equation.DSMT4" shapeId="10250" r:id="rId13"/>
    <oleObject progId="Equation.DSMT4" shapeId="10251" r:id="rId14"/>
    <oleObject progId="Equation.DSMT4" shapeId="10252" r:id="rId15"/>
    <oleObject progId="Equation.DSMT4" shapeId="10253" r:id="rId16"/>
    <oleObject progId="Equation.DSMT4" shapeId="10254" r:id="rId17"/>
    <oleObject progId="Equation.DSMT4" shapeId="10255" r:id="rId18"/>
    <oleObject progId="Equation.3" shapeId="10256" r:id="rId19"/>
    <oleObject progId="Equation.DSMT4" shapeId="10257" r:id="rId20"/>
    <oleObject progId="Equation.DSMT4" shapeId="10258" r:id="rId21"/>
    <oleObject progId="Equation.DSMT4" shapeId="10259" r:id="rId22"/>
    <oleObject progId="Equation.DSMT4" shapeId="10260" r:id="rId23"/>
    <oleObject progId="Equation.DSMT4" shapeId="10261" r:id="rId24"/>
    <oleObject progId="Equation.DSMT4" shapeId="10262" r:id="rId25"/>
    <oleObject progId="Equation.DSMT4" shapeId="10263" r:id="rId26"/>
    <oleObject progId="Equation.3" shapeId="10264" r:id="rId27"/>
    <oleObject progId="Equation.DSMT4" shapeId="10265" r:id="rId28"/>
    <oleObject progId="Equation.DSMT4" shapeId="10266" r:id="rId29"/>
    <oleObject progId="Equation.DSMT4" shapeId="10267" r:id="rId30"/>
    <oleObject progId="Equation.DSMT4" shapeId="10268" r:id="rId31"/>
    <oleObject progId="Equation.DSMT4" shapeId="10269" r:id="rId32"/>
    <oleObject progId="Equation.DSMT4" shapeId="10270" r:id="rId33"/>
    <oleObject progId="Equation.DSMT4" shapeId="10271" r:id="rId34"/>
    <oleObject progId="Equation.DSMT4" shapeId="10272" r:id="rId35"/>
    <oleObject progId="Equation.DSMT4" shapeId="10273" r:id="rId36"/>
    <oleObject progId="Equation.DSMT4" shapeId="10274" r:id="rId37"/>
    <oleObject progId="Equation.3" shapeId="10275" r:id="rId38"/>
    <oleObject progId="Equation.DSMT4" shapeId="10276" r:id="rId39"/>
    <oleObject progId="Equation.DSMT4" shapeId="10277" r:id="rId40"/>
    <oleObject progId="Equation.DSMT4" shapeId="10278" r:id="rId41"/>
    <oleObject progId="Equation.DSMT4" shapeId="10279" r:id="rId42"/>
    <oleObject progId="Equation.DSMT4" shapeId="10280" r:id="rId43"/>
    <oleObject progId="Equation.DSMT4" shapeId="10281" r:id="rId44"/>
    <oleObject progId="Equation.DSMT4" shapeId="10282" r:id="rId45"/>
    <oleObject progId="Equation.3" shapeId="10283" r:id="rId46"/>
    <oleObject progId="Equation.DSMT4" shapeId="10284" r:id="rId47"/>
    <oleObject progId="Equation.DSMT4" shapeId="10285" r:id="rId48"/>
    <oleObject progId="Equation.DSMT4" shapeId="10286" r:id="rId49"/>
    <oleObject progId="Equation.DSMT4" shapeId="10287" r:id="rId50"/>
    <oleObject progId="Equation.DSMT4" shapeId="10288" r:id="rId51"/>
    <oleObject progId="Equation.DSMT4" shapeId="10289" r:id="rId52"/>
    <oleObject progId="Equation.DSMT4" shapeId="10290" r:id="rId53"/>
    <oleObject progId="Equation.DSMT4" shapeId="10291" r:id="rId54"/>
    <oleObject progId="Equation.DSMT4" shapeId="10292" r:id="rId55"/>
    <oleObject progId="Equation.DSMT4" shapeId="10293" r:id="rId56"/>
    <oleObject progId="Equation.DSMT4" shapeId="10294" r:id="rId57"/>
    <oleObject progId="Equation.DSMT4" shapeId="10295" r:id="rId58"/>
    <oleObject progId="Equation.DSMT4" shapeId="10296" r:id="rId59"/>
    <oleObject progId="Equation.DSMT4" shapeId="10297" r:id="rId60"/>
    <oleObject progId="Equation.DSMT4" shapeId="10298" r:id="rId61"/>
    <oleObject progId="Equation.DSMT4" shapeId="10299" r:id="rId62"/>
    <oleObject progId="Equation.DSMT4" shapeId="10300" r:id="rId63"/>
    <oleObject progId="Equation.DSMT4" shapeId="10301" r:id="rId64"/>
    <oleObject progId="Equation.DSMT4" shapeId="10302" r:id="rId65"/>
    <oleObject progId="Equation.DSMT4" shapeId="10303" r:id="rId66"/>
    <oleObject progId="Equation.DSMT4" shapeId="10304" r:id="rId67"/>
    <oleObject progId="Equation.DSMT4" shapeId="10305" r:id="rId68"/>
    <oleObject progId="Equation.3" shapeId="10306" r:id="rId69"/>
  </oleObjects>
</worksheet>
</file>

<file path=xl/worksheets/sheet14.xml><?xml version="1.0" encoding="utf-8"?>
<worksheet xmlns="http://schemas.openxmlformats.org/spreadsheetml/2006/main" xmlns:r="http://schemas.openxmlformats.org/officeDocument/2006/relationships">
  <sheetPr>
    <tabColor rgb="FF00B050"/>
  </sheetPr>
  <dimension ref="A2:AM143"/>
  <sheetViews>
    <sheetView workbookViewId="0"/>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65" t="s">
        <v>118</v>
      </c>
      <c r="B2" s="465"/>
      <c r="C2" s="465"/>
      <c r="D2" s="465"/>
      <c r="E2" s="465"/>
      <c r="F2" s="465"/>
      <c r="I2" s="39" t="s">
        <v>119</v>
      </c>
      <c r="J2">
        <f>'Recalculate t-stat'!K5</f>
        <v>5.8907028585681331</v>
      </c>
      <c r="L2" t="s">
        <v>120</v>
      </c>
      <c r="M2">
        <f>1/(1+$J$2^2/(C20-1))</f>
        <v>7.9574794382337485E-2</v>
      </c>
    </row>
    <row r="7" spans="1:13">
      <c r="A7" s="488" t="s">
        <v>40</v>
      </c>
      <c r="B7" s="488"/>
      <c r="C7" s="488"/>
      <c r="D7" s="488"/>
      <c r="E7" s="488"/>
      <c r="F7" s="488"/>
      <c r="G7" s="488"/>
      <c r="H7" s="488"/>
    </row>
    <row r="9" spans="1:13">
      <c r="A9" s="47" t="s">
        <v>41</v>
      </c>
      <c r="B9" s="47"/>
      <c r="C9" s="47"/>
      <c r="D9" s="47"/>
      <c r="E9" s="47"/>
      <c r="F9" s="47"/>
      <c r="G9" s="47"/>
      <c r="H9" s="47"/>
    </row>
    <row r="13" spans="1:13">
      <c r="A13" s="48" t="s">
        <v>42</v>
      </c>
    </row>
    <row r="16" spans="1:13">
      <c r="A16" s="39" t="s">
        <v>43</v>
      </c>
      <c r="F16" t="s">
        <v>44</v>
      </c>
      <c r="H16" s="49">
        <f>'Template_nonnormal '!B44</f>
        <v>0.38755049291912408</v>
      </c>
    </row>
    <row r="18" spans="1:39">
      <c r="A18" s="39" t="s">
        <v>45</v>
      </c>
      <c r="C18">
        <f>M2</f>
        <v>7.9574794382337485E-2</v>
      </c>
      <c r="F18" t="s">
        <v>46</v>
      </c>
      <c r="H18" s="49">
        <f>'Template_nonnormal '!B41</f>
        <v>-3.423662562692245</v>
      </c>
    </row>
    <row r="20" spans="1:39">
      <c r="A20" s="39" t="s">
        <v>47</v>
      </c>
      <c r="C20">
        <f>'Template_nonnormal '!$J$107</f>
        <v>4</v>
      </c>
    </row>
    <row r="22" spans="1:39">
      <c r="A22" t="s">
        <v>48</v>
      </c>
      <c r="C22">
        <f>'Template_nonnormal '!H102</f>
        <v>4.5407028585681335</v>
      </c>
    </row>
    <row r="24" spans="1:39">
      <c r="A24" s="488" t="s">
        <v>49</v>
      </c>
      <c r="B24" s="488"/>
      <c r="I24" s="488" t="s">
        <v>50</v>
      </c>
      <c r="J24" s="488"/>
      <c r="P24" s="488" t="s">
        <v>51</v>
      </c>
      <c r="Q24" s="488"/>
      <c r="V24" s="488" t="s">
        <v>52</v>
      </c>
      <c r="W24" s="488"/>
      <c r="AB24" s="488" t="s">
        <v>53</v>
      </c>
      <c r="AC24" s="488"/>
      <c r="AI24" s="488" t="s">
        <v>169</v>
      </c>
      <c r="AJ24" s="488"/>
    </row>
    <row r="26" spans="1:39">
      <c r="A26" s="39" t="s">
        <v>54</v>
      </c>
      <c r="B26">
        <f>($C$20-1)/2</f>
        <v>1.5</v>
      </c>
      <c r="I26" s="39" t="s">
        <v>54</v>
      </c>
      <c r="J26">
        <f>($C$20+1)/2</f>
        <v>2.5</v>
      </c>
      <c r="P26" s="39" t="s">
        <v>54</v>
      </c>
      <c r="Q26">
        <f>($C$20+3)/2</f>
        <v>3.5</v>
      </c>
      <c r="V26" s="39" t="s">
        <v>54</v>
      </c>
      <c r="W26">
        <f>($C$20+3)/2</f>
        <v>3.5</v>
      </c>
      <c r="AB26" s="39" t="s">
        <v>54</v>
      </c>
      <c r="AC26">
        <f>($C$20-1)/2</f>
        <v>1.5</v>
      </c>
      <c r="AI26" s="39" t="s">
        <v>54</v>
      </c>
      <c r="AJ26">
        <f>($C$20+1)/2</f>
        <v>2.5</v>
      </c>
    </row>
    <row r="28" spans="1:39">
      <c r="A28" s="39" t="s">
        <v>55</v>
      </c>
      <c r="B28">
        <f>1/2</f>
        <v>0.5</v>
      </c>
      <c r="C28" s="49"/>
      <c r="I28" s="39" t="s">
        <v>55</v>
      </c>
      <c r="J28">
        <f>1/2</f>
        <v>0.5</v>
      </c>
      <c r="P28" s="39" t="s">
        <v>55</v>
      </c>
      <c r="Q28">
        <f>1/2</f>
        <v>0.5</v>
      </c>
      <c r="V28" s="39" t="s">
        <v>55</v>
      </c>
      <c r="W28">
        <f>1/2</f>
        <v>0.5</v>
      </c>
      <c r="AB28" s="39" t="s">
        <v>55</v>
      </c>
      <c r="AC28">
        <v>1</v>
      </c>
      <c r="AI28" s="39" t="s">
        <v>55</v>
      </c>
      <c r="AJ28">
        <v>1</v>
      </c>
    </row>
    <row r="29" spans="1:39">
      <c r="A29" s="50"/>
      <c r="B29" s="50"/>
      <c r="C29" s="51"/>
      <c r="I29" s="50"/>
      <c r="J29" s="50"/>
      <c r="P29" s="50"/>
      <c r="Q29" s="50"/>
      <c r="V29" s="50"/>
      <c r="W29" s="50"/>
      <c r="AB29" s="50"/>
      <c r="AC29" s="50"/>
      <c r="AI29" s="50"/>
      <c r="AJ29" s="50"/>
    </row>
    <row r="30" spans="1:39">
      <c r="A30" s="39" t="s">
        <v>56</v>
      </c>
      <c r="B30" s="50">
        <f>B28*($C$18/(1-$C$18))</f>
        <v>4.3227192115484196E-2</v>
      </c>
      <c r="C30" s="51"/>
      <c r="I30" s="39" t="s">
        <v>56</v>
      </c>
      <c r="J30" s="50">
        <f>J28*($C$18/(1-$C$18))</f>
        <v>4.3227192115484196E-2</v>
      </c>
      <c r="P30" s="39" t="s">
        <v>56</v>
      </c>
      <c r="Q30" s="50">
        <f>Q28*($C$18/(1-$C$18))</f>
        <v>4.3227192115484196E-2</v>
      </c>
      <c r="V30" s="39" t="s">
        <v>56</v>
      </c>
      <c r="W30" s="50">
        <f>W28*($C$18/(1-$C$18))</f>
        <v>4.3227192115484196E-2</v>
      </c>
      <c r="AB30" s="39" t="s">
        <v>56</v>
      </c>
      <c r="AC30" s="50">
        <f>AC28*($C$18/(1-$C$18))</f>
        <v>8.6454384230968392E-2</v>
      </c>
      <c r="AI30" s="39" t="s">
        <v>56</v>
      </c>
      <c r="AJ30" s="50">
        <f>AJ28*($C$18/(1-$C$18))</f>
        <v>8.6454384230968392E-2</v>
      </c>
    </row>
    <row r="32" spans="1:39">
      <c r="A32" s="488" t="s">
        <v>57</v>
      </c>
      <c r="B32" s="488"/>
      <c r="C32" s="488"/>
      <c r="D32" s="488"/>
      <c r="E32" s="488"/>
      <c r="I32" s="488" t="s">
        <v>57</v>
      </c>
      <c r="J32" s="488"/>
      <c r="K32" s="488"/>
      <c r="L32" s="488"/>
      <c r="M32" s="488"/>
      <c r="P32" s="488" t="s">
        <v>57</v>
      </c>
      <c r="Q32" s="488"/>
      <c r="R32" s="488"/>
      <c r="S32" s="488"/>
      <c r="T32" s="488"/>
      <c r="V32" s="488" t="s">
        <v>57</v>
      </c>
      <c r="W32" s="488"/>
      <c r="X32" s="488"/>
      <c r="Y32" s="488"/>
      <c r="Z32" s="488"/>
      <c r="AB32" s="488" t="s">
        <v>57</v>
      </c>
      <c r="AC32" s="488"/>
      <c r="AD32" s="488"/>
      <c r="AE32" s="488"/>
      <c r="AF32" s="488"/>
      <c r="AI32" s="488" t="s">
        <v>57</v>
      </c>
      <c r="AJ32" s="488"/>
      <c r="AK32" s="488"/>
      <c r="AL32" s="488"/>
      <c r="AM32" s="488"/>
    </row>
    <row r="34" spans="1:39">
      <c r="A34" t="s">
        <v>58</v>
      </c>
      <c r="C34" s="52">
        <f>GAMMADIST($B$30,$B$26, 1, TRUE)</f>
        <v>6.5881457695796033E-3</v>
      </c>
      <c r="I34" t="s">
        <v>59</v>
      </c>
      <c r="K34" s="52">
        <f>GAMMADIST($J$30,$J$26, 1, TRUE)</f>
        <v>1.1335097969796145E-4</v>
      </c>
      <c r="P34" t="s">
        <v>60</v>
      </c>
      <c r="R34" s="52">
        <f>GAMMADIST($Q$30,$Q$26, 1, TRUE)</f>
        <v>1.39610036930877E-6</v>
      </c>
      <c r="V34" t="s">
        <v>61</v>
      </c>
      <c r="X34" s="52">
        <f>GAMMADIST($W$30,$W$26, 1, TRUE)</f>
        <v>1.39610036930877E-6</v>
      </c>
      <c r="AB34" t="s">
        <v>62</v>
      </c>
      <c r="AD34" s="52">
        <f>GAMMADIST($AC$30,$AC$26, 1, TRUE)</f>
        <v>1.8160504494768269E-2</v>
      </c>
      <c r="AI34" t="s">
        <v>161</v>
      </c>
      <c r="AK34" s="52">
        <f>GAMMADIST($AJ$30,$AJ$26, 1, TRUE)</f>
        <v>6.2179358728743476E-4</v>
      </c>
    </row>
    <row r="36" spans="1:39">
      <c r="A36" t="s">
        <v>63</v>
      </c>
      <c r="C36">
        <f>EXP(GAMMALN($B$26))</f>
        <v>0.88622692539526249</v>
      </c>
      <c r="I36" t="s">
        <v>64</v>
      </c>
      <c r="K36">
        <f>EXP(GAMMALN($J$26))</f>
        <v>1.3293403880407133</v>
      </c>
      <c r="P36" t="s">
        <v>65</v>
      </c>
      <c r="R36">
        <f>EXP(GAMMALN($Q$26))</f>
        <v>3.3233509700025894</v>
      </c>
      <c r="V36" t="s">
        <v>66</v>
      </c>
      <c r="X36">
        <f>EXP(GAMMALN($W$26))</f>
        <v>3.3233509700025894</v>
      </c>
      <c r="AB36" t="s">
        <v>67</v>
      </c>
      <c r="AD36">
        <f>EXP(GAMMALN($AC$26))</f>
        <v>0.88622692539526249</v>
      </c>
      <c r="AI36" t="s">
        <v>162</v>
      </c>
      <c r="AK36">
        <f>EXP(GAMMALN($AJ$26))</f>
        <v>1.3293403880407133</v>
      </c>
    </row>
    <row r="38" spans="1:39">
      <c r="A38" t="s">
        <v>68</v>
      </c>
      <c r="C38">
        <f>EXP(-$B$30)*$B$30^$B$26/$C$36</f>
        <v>9.7121921858705114E-3</v>
      </c>
      <c r="I38" t="s">
        <v>69</v>
      </c>
      <c r="K38">
        <f>EXP(-$J$30)*$J$30^$J$26/$K$36</f>
        <v>2.7988719833173915E-4</v>
      </c>
      <c r="P38" t="s">
        <v>70</v>
      </c>
      <c r="R38">
        <f>EXP(-$Q$30)*$Q$30^$Q$26/$R$36</f>
        <v>4.8394950773247353E-6</v>
      </c>
      <c r="V38" t="s">
        <v>71</v>
      </c>
      <c r="X38">
        <f>EXP(-$W$30)*$W$30^$W$26/$X$36</f>
        <v>4.8394950773247353E-6</v>
      </c>
      <c r="AB38" t="s">
        <v>72</v>
      </c>
      <c r="AD38">
        <f>EXP(-$AC$30)*$AC$30^$AC$26/$AD$36</f>
        <v>2.6308066451524531E-2</v>
      </c>
      <c r="AI38" t="s">
        <v>163</v>
      </c>
      <c r="AK38">
        <f>EXP(-$AJ$30)*$AJ$30^$AJ$26/$AK$36</f>
        <v>1.5162984569754871E-3</v>
      </c>
    </row>
    <row r="41" spans="1:39">
      <c r="A41" t="s">
        <v>73</v>
      </c>
      <c r="C41">
        <f>($B$26-1-$B$30)/(2*$B$28)</f>
        <v>0.4567728078845158</v>
      </c>
      <c r="I41" t="s">
        <v>74</v>
      </c>
      <c r="K41">
        <f>($J$26-1-$J$30)/(2*$J$28)</f>
        <v>1.4567728078845159</v>
      </c>
      <c r="P41" t="s">
        <v>75</v>
      </c>
      <c r="R41">
        <f>($Q$26-1-$Q$30)/(2*$Q$28)</f>
        <v>2.4567728078845157</v>
      </c>
      <c r="V41" t="s">
        <v>76</v>
      </c>
      <c r="X41">
        <f>($W$26-1-$W$30)/(2*$W$28)</f>
        <v>2.4567728078845157</v>
      </c>
      <c r="AB41" t="s">
        <v>77</v>
      </c>
      <c r="AD41">
        <f>($AC$26-1-$AC$30)/(2*$AC$28)</f>
        <v>0.2067728078845158</v>
      </c>
      <c r="AI41" t="s">
        <v>164</v>
      </c>
      <c r="AK41">
        <f>($AJ$26-1-$AJ$30)/(2*$AJ$28)</f>
        <v>0.7067728078845158</v>
      </c>
    </row>
    <row r="43" spans="1:39">
      <c r="A43" t="s">
        <v>78</v>
      </c>
      <c r="E43">
        <f>($B$26^3/2-5*$B$26^2/3+3*$B$26/2-(1/3))</f>
        <v>-0.14583333333333331</v>
      </c>
      <c r="I43" t="s">
        <v>79</v>
      </c>
      <c r="M43">
        <f>($J$26^3/2-5*$J$26^2/3+3*$J$26/2-(1/3))</f>
        <v>0.81250000000000067</v>
      </c>
      <c r="P43" t="s">
        <v>80</v>
      </c>
      <c r="T43">
        <f>($Q$26^3/2-5*$Q$26^2/3+3*$Q$26/2-(1/3))</f>
        <v>5.9374999999999991</v>
      </c>
      <c r="V43" t="s">
        <v>81</v>
      </c>
      <c r="Z43">
        <f>($W$26^3/2-5*$W$26^2/3+3*$W$26/2-(1/3))</f>
        <v>5.9374999999999991</v>
      </c>
      <c r="AB43" t="s">
        <v>82</v>
      </c>
      <c r="AF43">
        <f>($AC$26^3/2-5*$AC$26^2/3+3*$AC$26/2-(1/3))</f>
        <v>-0.14583333333333331</v>
      </c>
      <c r="AI43" t="s">
        <v>165</v>
      </c>
      <c r="AM43">
        <f>($AJ$26^3/2-5*$AJ$26^2/3+3*$AJ$26/2-(1/3))</f>
        <v>0.81250000000000067</v>
      </c>
    </row>
    <row r="47" spans="1:39">
      <c r="A47" t="s">
        <v>83</v>
      </c>
      <c r="E47">
        <f>B30*(3*$B$26^2/2-11*$B$26/6+(1/3))</f>
        <v>4.1426059110672354E-2</v>
      </c>
      <c r="I47" t="s">
        <v>84</v>
      </c>
      <c r="M47">
        <f>$J$30*(3*$J$26^2/2-11*$J$26/6+(1/3))</f>
        <v>0.2215393595918565</v>
      </c>
      <c r="P47" t="s">
        <v>85</v>
      </c>
      <c r="T47">
        <f>$Q$30*(3*$Q$26^2/2-11*$Q$26/6+(1/3))</f>
        <v>0.53133423641949318</v>
      </c>
      <c r="V47" t="s">
        <v>86</v>
      </c>
      <c r="Z47">
        <f>$W$30*(3*$W$26^2/2-11*$W$26/6+(1/3))</f>
        <v>0.53133423641949318</v>
      </c>
      <c r="AB47" t="s">
        <v>87</v>
      </c>
      <c r="AF47">
        <f>$AC$30*(3*$AC$26^2/2-11*$AC$26/6+(1/3))</f>
        <v>8.2852118221344709E-2</v>
      </c>
      <c r="AI47" t="s">
        <v>166</v>
      </c>
      <c r="AM47">
        <f>$AJ$30*(3*$AJ$26^2/2-11*$AJ$26/6+(1/3))</f>
        <v>0.443078719183713</v>
      </c>
    </row>
    <row r="50" spans="1:39">
      <c r="A50" t="s">
        <v>88</v>
      </c>
      <c r="E50" s="53">
        <f>B30^2*(3*$B$26/2-(1/6))</f>
        <v>3.89289612122704E-3</v>
      </c>
      <c r="I50" t="s">
        <v>89</v>
      </c>
      <c r="M50" s="53">
        <f>J30^2*(3*$J$26/2-(1/6))</f>
        <v>6.6957813285105083E-3</v>
      </c>
      <c r="P50" t="s">
        <v>90</v>
      </c>
      <c r="T50" s="53">
        <f>Q30^2*(3*$Q$26/2-(1/6))</f>
        <v>9.4986665357939763E-3</v>
      </c>
      <c r="V50" t="s">
        <v>91</v>
      </c>
      <c r="Z50" s="53">
        <f>W30^2*(3*$W$26/2-(1/6))</f>
        <v>9.4986665357939763E-3</v>
      </c>
      <c r="AB50" t="s">
        <v>92</v>
      </c>
      <c r="AF50" s="53">
        <f>AC30^2*(3*$AC$26/2-(1/6))</f>
        <v>1.557158448490816E-2</v>
      </c>
      <c r="AI50" t="s">
        <v>167</v>
      </c>
      <c r="AM50" s="53">
        <f>AJ30^2*(3*$AJ$26/2-(1/6))</f>
        <v>2.6783125314042033E-2</v>
      </c>
    </row>
    <row r="54" spans="1:39">
      <c r="A54" t="s">
        <v>93</v>
      </c>
      <c r="E54" s="53">
        <f>C34/C36+C38*(C41+(1/(2*$B$28)^2)*(E43-E47+E50-B30^3/2))</f>
        <v>1.0088908833537989E-2</v>
      </c>
      <c r="I54" t="s">
        <v>94</v>
      </c>
      <c r="M54" s="53">
        <f>K34/K36+K38*(K41+(1/(2*$J$28)^2)*(M43-M47+M50-J30^3/2))</f>
        <v>6.6026572684144353E-4</v>
      </c>
      <c r="P54" t="s">
        <v>95</v>
      </c>
      <c r="T54" s="53">
        <f>R34/R36+R38*(R41+(1/(2*$Q$28)^2)*(T43-T47+T50-Q30^3/2))</f>
        <v>3.8518513959958922E-5</v>
      </c>
      <c r="V54" t="s">
        <v>96</v>
      </c>
      <c r="Z54" s="53">
        <f>X34/X36+X38*(X41+(1/(2*$W$28)^2)*(Z43-Z47+Z50-W30^3/2))</f>
        <v>3.8518513959958922E-5</v>
      </c>
      <c r="AB54" t="s">
        <v>97</v>
      </c>
      <c r="AF54" s="53">
        <f>AD34/AD36+AD38*(AD41+(1/(2*$AC$28)^2)*(AF43-AF47+AF50-AC30^3/2))</f>
        <v>2.4527949257953964E-2</v>
      </c>
      <c r="AI54" t="s">
        <v>168</v>
      </c>
      <c r="AM54" s="53">
        <f>AK34/AK36+AK38*(AK41+(1/(2*$AC$28)^2)*(AM43-AM47+AM50-AJ30^3/2))</f>
        <v>1.6894930265636116E-3</v>
      </c>
    </row>
    <row r="57" spans="1:39">
      <c r="A57" t="s">
        <v>98</v>
      </c>
      <c r="F57" s="53">
        <f>(1/2)*$E$54</f>
        <v>5.0444544167689946E-3</v>
      </c>
    </row>
    <row r="61" spans="1:39">
      <c r="A61" t="s">
        <v>99</v>
      </c>
    </row>
    <row r="67" spans="1:5">
      <c r="A67" t="s">
        <v>100</v>
      </c>
      <c r="D67">
        <f>1/(6*SQRT(2*$C$20*PI()))</f>
        <v>3.3245190033452728E-2</v>
      </c>
    </row>
    <row r="71" spans="1:5">
      <c r="A71" t="s">
        <v>101</v>
      </c>
      <c r="D71">
        <f>1+(2*C20-1)*C22/(C20-1)</f>
        <v>11.594973336658979</v>
      </c>
    </row>
    <row r="75" spans="1:5">
      <c r="A75" t="s">
        <v>102</v>
      </c>
      <c r="E75">
        <f>(1+C22^2/(C20-1))^((C20+1)/2)</f>
        <v>173.90170982850756</v>
      </c>
    </row>
    <row r="79" spans="1:5">
      <c r="A79" t="s">
        <v>103</v>
      </c>
      <c r="E79">
        <f>D67*D71/E75</f>
        <v>2.2166377339830749E-3</v>
      </c>
    </row>
    <row r="83" spans="1:5">
      <c r="A83" t="s">
        <v>104</v>
      </c>
    </row>
    <row r="88" spans="1:5">
      <c r="A88" t="s">
        <v>105</v>
      </c>
      <c r="E88">
        <f>(C20-1)/(3*SQRT(2*C20*PI()))</f>
        <v>0.19947114020071635</v>
      </c>
    </row>
    <row r="92" spans="1:5">
      <c r="A92" t="s">
        <v>106</v>
      </c>
      <c r="E92">
        <f>(2*$C$20-1)/(6*SQRT(2*$C$20*PI()))</f>
        <v>0.23271633023416907</v>
      </c>
    </row>
    <row r="96" spans="1:5">
      <c r="A96" t="s">
        <v>107</v>
      </c>
      <c r="E96" s="53">
        <f>E92*AF54-E88*AM54</f>
        <v>5.3710492391111538E-3</v>
      </c>
    </row>
    <row r="99" spans="1:7">
      <c r="A99" t="s">
        <v>108</v>
      </c>
    </row>
    <row r="102" spans="1:7">
      <c r="A102" t="s">
        <v>109</v>
      </c>
      <c r="F102" s="53">
        <f>((C20-1)/24)*E54</f>
        <v>1.2611136041922487E-3</v>
      </c>
    </row>
    <row r="107" spans="1:7">
      <c r="A107" t="s">
        <v>110</v>
      </c>
      <c r="G107" s="53">
        <f>((C20-1)*(C20+2)/(12*C20))*M54</f>
        <v>2.4759964756554132E-4</v>
      </c>
    </row>
    <row r="111" spans="1:7">
      <c r="A111" t="s">
        <v>111</v>
      </c>
      <c r="G111" s="53">
        <f>((C20+4)*(C20-1)/(24*C20))*T54</f>
        <v>9.6296284899897305E-6</v>
      </c>
    </row>
    <row r="115" spans="1:7">
      <c r="A115" t="s">
        <v>103</v>
      </c>
      <c r="G115" s="53">
        <f>F102-G107+G111</f>
        <v>1.0231435851166971E-3</v>
      </c>
    </row>
    <row r="118" spans="1:7">
      <c r="A118" t="s">
        <v>112</v>
      </c>
    </row>
    <row r="123" spans="1:7">
      <c r="G123" s="53">
        <f>((C20-1)*(2*C20+5)/72)*E54</f>
        <v>5.4648256181664108E-3</v>
      </c>
    </row>
    <row r="124" spans="1:7">
      <c r="A124" t="s">
        <v>113</v>
      </c>
    </row>
    <row r="127" spans="1:7">
      <c r="G127" s="53">
        <f>((C20-1)*(2*C20^2+5*C20+8)/(24*C20))*M54</f>
        <v>1.2379982378277067E-3</v>
      </c>
    </row>
    <row r="128" spans="1:7">
      <c r="A128" t="s">
        <v>114</v>
      </c>
    </row>
    <row r="132" spans="1:10">
      <c r="A132" t="s">
        <v>115</v>
      </c>
      <c r="G132" s="53">
        <f>((C20-1)*(2*C20^2+5*C20+12)/(24*C20))*T54</f>
        <v>7.7037027919917844E-5</v>
      </c>
    </row>
    <row r="136" spans="1:10">
      <c r="A136" t="s">
        <v>116</v>
      </c>
      <c r="H136" s="53">
        <f>((C20-1)*(2*C20^2+5*C20+12)/(72*C20))*Z54</f>
        <v>2.567900930663928E-5</v>
      </c>
    </row>
    <row r="141" spans="1:10">
      <c r="A141" t="s">
        <v>107</v>
      </c>
      <c r="C141" s="53">
        <f>G123-G127+G132-H136</f>
        <v>4.278185398951982E-3</v>
      </c>
    </row>
    <row r="143" spans="1:10">
      <c r="A143" t="s">
        <v>117</v>
      </c>
      <c r="J143" s="55">
        <f>F57+H16*E96-H18*G115+(H16^2)*C141</f>
        <v>1.1271469286724683E-2</v>
      </c>
    </row>
  </sheetData>
  <mergeCells count="14">
    <mergeCell ref="A2:F2"/>
    <mergeCell ref="A7:H7"/>
    <mergeCell ref="A24:B24"/>
    <mergeCell ref="I24:J24"/>
    <mergeCell ref="P24:Q24"/>
    <mergeCell ref="AB24:AC24"/>
    <mergeCell ref="AI24:AJ24"/>
    <mergeCell ref="A32:E32"/>
    <mergeCell ref="I32:M32"/>
    <mergeCell ref="P32:T32"/>
    <mergeCell ref="V32:Z32"/>
    <mergeCell ref="AB32:AF32"/>
    <mergeCell ref="AI32:AM32"/>
    <mergeCell ref="V24:W24"/>
  </mergeCells>
  <pageMargins left="0.7" right="0.7" top="0.75" bottom="0.75" header="0.3" footer="0.3"/>
  <pageSetup orientation="portrait" r:id="rId1"/>
  <drawing r:id="rId2"/>
  <legacyDrawing r:id="rId3"/>
  <oleObjects>
    <oleObject progId="Equation.DSMT4" shapeId="11265" r:id="rId4"/>
    <oleObject progId="Equation.DSMT4" shapeId="11266" r:id="rId5"/>
    <oleObject progId="Equation.DSMT4" shapeId="11267" r:id="rId6"/>
    <oleObject progId="Equation.DSMT4" shapeId="11268" r:id="rId7"/>
    <oleObject progId="Equation.DSMT4" shapeId="11269" r:id="rId8"/>
    <oleObject progId="Equation.DSMT4" shapeId="11270" r:id="rId9"/>
    <oleObject progId="Equation.DSMT4" shapeId="11271" r:id="rId10"/>
    <oleObject progId="Equation.3" shapeId="11272" r:id="rId11"/>
    <oleObject progId="Equation.DSMT4" shapeId="11273" r:id="rId12"/>
    <oleObject progId="Equation.DSMT4" shapeId="11274" r:id="rId13"/>
    <oleObject progId="Equation.DSMT4" shapeId="11275" r:id="rId14"/>
    <oleObject progId="Equation.DSMT4" shapeId="11276" r:id="rId15"/>
    <oleObject progId="Equation.DSMT4" shapeId="11277" r:id="rId16"/>
    <oleObject progId="Equation.DSMT4" shapeId="11278" r:id="rId17"/>
    <oleObject progId="Equation.DSMT4" shapeId="11279" r:id="rId18"/>
    <oleObject progId="Equation.3" shapeId="11280" r:id="rId19"/>
    <oleObject progId="Equation.DSMT4" shapeId="11281" r:id="rId20"/>
    <oleObject progId="Equation.DSMT4" shapeId="11282" r:id="rId21"/>
    <oleObject progId="Equation.DSMT4" shapeId="11283" r:id="rId22"/>
    <oleObject progId="Equation.DSMT4" shapeId="11284" r:id="rId23"/>
    <oleObject progId="Equation.DSMT4" shapeId="11285" r:id="rId24"/>
    <oleObject progId="Equation.DSMT4" shapeId="11286" r:id="rId25"/>
    <oleObject progId="Equation.DSMT4" shapeId="11287" r:id="rId26"/>
    <oleObject progId="Equation.3" shapeId="11288" r:id="rId27"/>
    <oleObject progId="Equation.DSMT4" shapeId="11289" r:id="rId28"/>
    <oleObject progId="Equation.DSMT4" shapeId="11290" r:id="rId29"/>
    <oleObject progId="Equation.DSMT4" shapeId="11291" r:id="rId30"/>
    <oleObject progId="Equation.DSMT4" shapeId="11292" r:id="rId31"/>
    <oleObject progId="Equation.DSMT4" shapeId="11293" r:id="rId32"/>
    <oleObject progId="Equation.DSMT4" shapeId="11294" r:id="rId33"/>
    <oleObject progId="Equation.DSMT4" shapeId="11295" r:id="rId34"/>
    <oleObject progId="Equation.DSMT4" shapeId="11296" r:id="rId35"/>
    <oleObject progId="Equation.DSMT4" shapeId="11297" r:id="rId36"/>
    <oleObject progId="Equation.DSMT4" shapeId="11298" r:id="rId37"/>
    <oleObject progId="Equation.3" shapeId="11299" r:id="rId38"/>
    <oleObject progId="Equation.DSMT4" shapeId="11300" r:id="rId39"/>
    <oleObject progId="Equation.DSMT4" shapeId="11301" r:id="rId40"/>
    <oleObject progId="Equation.DSMT4" shapeId="11302" r:id="rId41"/>
    <oleObject progId="Equation.DSMT4" shapeId="11303" r:id="rId42"/>
    <oleObject progId="Equation.DSMT4" shapeId="11304" r:id="rId43"/>
    <oleObject progId="Equation.DSMT4" shapeId="11305" r:id="rId44"/>
    <oleObject progId="Equation.DSMT4" shapeId="11306" r:id="rId45"/>
    <oleObject progId="Equation.3" shapeId="11307" r:id="rId46"/>
    <oleObject progId="Equation.DSMT4" shapeId="11308" r:id="rId47"/>
    <oleObject progId="Equation.DSMT4" shapeId="11309" r:id="rId48"/>
    <oleObject progId="Equation.DSMT4" shapeId="11310" r:id="rId49"/>
    <oleObject progId="Equation.DSMT4" shapeId="11311" r:id="rId50"/>
    <oleObject progId="Equation.DSMT4" shapeId="11312" r:id="rId51"/>
    <oleObject progId="Equation.DSMT4" shapeId="11313" r:id="rId52"/>
    <oleObject progId="Equation.DSMT4" shapeId="11314" r:id="rId53"/>
    <oleObject progId="Equation.DSMT4" shapeId="11315" r:id="rId54"/>
    <oleObject progId="Equation.DSMT4" shapeId="11316" r:id="rId55"/>
    <oleObject progId="Equation.DSMT4" shapeId="11317" r:id="rId56"/>
    <oleObject progId="Equation.DSMT4" shapeId="11318" r:id="rId57"/>
    <oleObject progId="Equation.DSMT4" shapeId="11319" r:id="rId58"/>
    <oleObject progId="Equation.DSMT4" shapeId="11320" r:id="rId59"/>
    <oleObject progId="Equation.DSMT4" shapeId="11321" r:id="rId60"/>
    <oleObject progId="Equation.DSMT4" shapeId="11322" r:id="rId61"/>
    <oleObject progId="Equation.DSMT4" shapeId="11323" r:id="rId62"/>
    <oleObject progId="Equation.DSMT4" shapeId="11324" r:id="rId63"/>
    <oleObject progId="Equation.DSMT4" shapeId="11325" r:id="rId64"/>
    <oleObject progId="Equation.DSMT4" shapeId="11326" r:id="rId65"/>
    <oleObject progId="Equation.DSMT4" shapeId="11327" r:id="rId66"/>
    <oleObject progId="Equation.DSMT4" shapeId="11328" r:id="rId67"/>
    <oleObject progId="Equation.DSMT4" shapeId="11329" r:id="rId68"/>
    <oleObject progId="Equation.3" shapeId="11330" r:id="rId69"/>
  </oleObjects>
</worksheet>
</file>

<file path=xl/worksheets/sheet15.xml><?xml version="1.0" encoding="utf-8"?>
<worksheet xmlns="http://schemas.openxmlformats.org/spreadsheetml/2006/main" xmlns:r="http://schemas.openxmlformats.org/officeDocument/2006/relationships">
  <sheetPr>
    <tabColor rgb="FF00B050"/>
  </sheetPr>
  <dimension ref="A2:AM143"/>
  <sheetViews>
    <sheetView workbookViewId="0"/>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65" t="s">
        <v>118</v>
      </c>
      <c r="B2" s="465"/>
      <c r="C2" s="465"/>
      <c r="D2" s="465"/>
      <c r="E2" s="465"/>
      <c r="F2" s="465"/>
      <c r="I2" s="39" t="s">
        <v>119</v>
      </c>
      <c r="J2">
        <f>'Recalculate t-stat'!L5</f>
        <v>6.1607028585681336</v>
      </c>
      <c r="L2" t="s">
        <v>120</v>
      </c>
      <c r="M2">
        <f>1/(1+$J$2^2/(C20-1))</f>
        <v>7.325245337428235E-2</v>
      </c>
    </row>
    <row r="7" spans="1:13">
      <c r="A7" s="488" t="s">
        <v>40</v>
      </c>
      <c r="B7" s="488"/>
      <c r="C7" s="488"/>
      <c r="D7" s="488"/>
      <c r="E7" s="488"/>
      <c r="F7" s="488"/>
      <c r="G7" s="488"/>
      <c r="H7" s="488"/>
    </row>
    <row r="9" spans="1:13">
      <c r="A9" s="47" t="s">
        <v>41</v>
      </c>
      <c r="B9" s="47"/>
      <c r="C9" s="47"/>
      <c r="D9" s="47"/>
      <c r="E9" s="47"/>
      <c r="F9" s="47"/>
      <c r="G9" s="47"/>
      <c r="H9" s="47"/>
    </row>
    <row r="13" spans="1:13">
      <c r="A13" s="48" t="s">
        <v>42</v>
      </c>
    </row>
    <row r="16" spans="1:13">
      <c r="A16" s="39" t="s">
        <v>43</v>
      </c>
      <c r="F16" t="s">
        <v>44</v>
      </c>
      <c r="H16" s="49">
        <f>'Template_nonnormal '!B44</f>
        <v>0.38755049291912408</v>
      </c>
    </row>
    <row r="18" spans="1:39">
      <c r="A18" s="39" t="s">
        <v>45</v>
      </c>
      <c r="C18">
        <f>M2</f>
        <v>7.325245337428235E-2</v>
      </c>
      <c r="F18" t="s">
        <v>46</v>
      </c>
      <c r="H18" s="49">
        <f>'Template_nonnormal '!B41</f>
        <v>-3.423662562692245</v>
      </c>
    </row>
    <row r="20" spans="1:39">
      <c r="A20" s="39" t="s">
        <v>47</v>
      </c>
      <c r="C20">
        <f>'Template_nonnormal '!$J$107</f>
        <v>4</v>
      </c>
    </row>
    <row r="22" spans="1:39">
      <c r="A22" t="s">
        <v>48</v>
      </c>
      <c r="C22">
        <f>'Template_nonnormal '!H102</f>
        <v>4.5407028585681335</v>
      </c>
    </row>
    <row r="24" spans="1:39">
      <c r="A24" s="488" t="s">
        <v>49</v>
      </c>
      <c r="B24" s="488"/>
      <c r="I24" s="488" t="s">
        <v>50</v>
      </c>
      <c r="J24" s="488"/>
      <c r="P24" s="488" t="s">
        <v>51</v>
      </c>
      <c r="Q24" s="488"/>
      <c r="V24" s="488" t="s">
        <v>52</v>
      </c>
      <c r="W24" s="488"/>
      <c r="AB24" s="488" t="s">
        <v>53</v>
      </c>
      <c r="AC24" s="488"/>
      <c r="AI24" s="488" t="s">
        <v>169</v>
      </c>
      <c r="AJ24" s="488"/>
    </row>
    <row r="26" spans="1:39">
      <c r="A26" s="39" t="s">
        <v>54</v>
      </c>
      <c r="B26">
        <f>($C$20-1)/2</f>
        <v>1.5</v>
      </c>
      <c r="I26" s="39" t="s">
        <v>54</v>
      </c>
      <c r="J26">
        <f>($C$20+1)/2</f>
        <v>2.5</v>
      </c>
      <c r="P26" s="39" t="s">
        <v>54</v>
      </c>
      <c r="Q26">
        <f>($C$20+3)/2</f>
        <v>3.5</v>
      </c>
      <c r="V26" s="39" t="s">
        <v>54</v>
      </c>
      <c r="W26">
        <f>($C$20+3)/2</f>
        <v>3.5</v>
      </c>
      <c r="AB26" s="39" t="s">
        <v>54</v>
      </c>
      <c r="AC26">
        <f>($C$20-1)/2</f>
        <v>1.5</v>
      </c>
      <c r="AI26" s="39" t="s">
        <v>54</v>
      </c>
      <c r="AJ26">
        <f>($C$20+1)/2</f>
        <v>2.5</v>
      </c>
    </row>
    <row r="28" spans="1:39">
      <c r="A28" s="39" t="s">
        <v>55</v>
      </c>
      <c r="B28">
        <f>1/2</f>
        <v>0.5</v>
      </c>
      <c r="C28" s="49"/>
      <c r="I28" s="39" t="s">
        <v>55</v>
      </c>
      <c r="J28">
        <f>1/2</f>
        <v>0.5</v>
      </c>
      <c r="P28" s="39" t="s">
        <v>55</v>
      </c>
      <c r="Q28">
        <f>1/2</f>
        <v>0.5</v>
      </c>
      <c r="V28" s="39" t="s">
        <v>55</v>
      </c>
      <c r="W28">
        <f>1/2</f>
        <v>0.5</v>
      </c>
      <c r="AB28" s="39" t="s">
        <v>55</v>
      </c>
      <c r="AC28">
        <v>1</v>
      </c>
      <c r="AI28" s="39" t="s">
        <v>55</v>
      </c>
      <c r="AJ28">
        <v>1</v>
      </c>
    </row>
    <row r="29" spans="1:39">
      <c r="A29" s="50"/>
      <c r="B29" s="50"/>
      <c r="C29" s="51"/>
      <c r="I29" s="50"/>
      <c r="J29" s="50"/>
      <c r="P29" s="50"/>
      <c r="Q29" s="50"/>
      <c r="V29" s="50"/>
      <c r="W29" s="50"/>
      <c r="AB29" s="50"/>
      <c r="AC29" s="50"/>
      <c r="AI29" s="50"/>
      <c r="AJ29" s="50"/>
    </row>
    <row r="30" spans="1:39">
      <c r="A30" s="39" t="s">
        <v>56</v>
      </c>
      <c r="B30" s="50">
        <f>B28*($C$18/(1-$C$18))</f>
        <v>3.9521255621875723E-2</v>
      </c>
      <c r="C30" s="51"/>
      <c r="I30" s="39" t="s">
        <v>56</v>
      </c>
      <c r="J30" s="50">
        <f>J28*($C$18/(1-$C$18))</f>
        <v>3.9521255621875723E-2</v>
      </c>
      <c r="P30" s="39" t="s">
        <v>56</v>
      </c>
      <c r="Q30" s="50">
        <f>Q28*($C$18/(1-$C$18))</f>
        <v>3.9521255621875723E-2</v>
      </c>
      <c r="V30" s="39" t="s">
        <v>56</v>
      </c>
      <c r="W30" s="50">
        <f>W28*($C$18/(1-$C$18))</f>
        <v>3.9521255621875723E-2</v>
      </c>
      <c r="AB30" s="39" t="s">
        <v>56</v>
      </c>
      <c r="AC30" s="50">
        <f>AC28*($C$18/(1-$C$18))</f>
        <v>7.9042511243751445E-2</v>
      </c>
      <c r="AI30" s="39" t="s">
        <v>56</v>
      </c>
      <c r="AJ30" s="50">
        <f>AJ28*($C$18/(1-$C$18))</f>
        <v>7.9042511243751445E-2</v>
      </c>
    </row>
    <row r="32" spans="1:39">
      <c r="A32" s="488" t="s">
        <v>57</v>
      </c>
      <c r="B32" s="488"/>
      <c r="C32" s="488"/>
      <c r="D32" s="488"/>
      <c r="E32" s="488"/>
      <c r="I32" s="488" t="s">
        <v>57</v>
      </c>
      <c r="J32" s="488"/>
      <c r="K32" s="488"/>
      <c r="L32" s="488"/>
      <c r="M32" s="488"/>
      <c r="P32" s="488" t="s">
        <v>57</v>
      </c>
      <c r="Q32" s="488"/>
      <c r="R32" s="488"/>
      <c r="S32" s="488"/>
      <c r="T32" s="488"/>
      <c r="V32" s="488" t="s">
        <v>57</v>
      </c>
      <c r="W32" s="488"/>
      <c r="X32" s="488"/>
      <c r="Y32" s="488"/>
      <c r="Z32" s="488"/>
      <c r="AB32" s="488" t="s">
        <v>57</v>
      </c>
      <c r="AC32" s="488"/>
      <c r="AD32" s="488"/>
      <c r="AE32" s="488"/>
      <c r="AF32" s="488"/>
      <c r="AI32" s="488" t="s">
        <v>57</v>
      </c>
      <c r="AJ32" s="488"/>
      <c r="AK32" s="488"/>
      <c r="AL32" s="488"/>
      <c r="AM32" s="488"/>
    </row>
    <row r="34" spans="1:39">
      <c r="A34" t="s">
        <v>58</v>
      </c>
      <c r="C34" s="52">
        <f>GAMMADIST($B$30,$B$26, 1, TRUE)</f>
        <v>5.7721135718609897E-3</v>
      </c>
      <c r="I34" t="s">
        <v>59</v>
      </c>
      <c r="K34" s="52">
        <f>GAMMADIST($J$30,$J$26, 1, TRUE)</f>
        <v>9.083561014791557E-5</v>
      </c>
      <c r="P34" t="s">
        <v>60</v>
      </c>
      <c r="R34" s="52">
        <f>GAMMADIST($Q$30,$Q$26, 1, TRUE)</f>
        <v>1.0231147067468584E-6</v>
      </c>
      <c r="V34" t="s">
        <v>61</v>
      </c>
      <c r="X34" s="52">
        <f>GAMMADIST($W$30,$W$26, 1, TRUE)</f>
        <v>1.0231147067468584E-6</v>
      </c>
      <c r="AB34" t="s">
        <v>62</v>
      </c>
      <c r="AD34" s="52">
        <f>GAMMADIST($AC$30,$AC$26, 1, TRUE)</f>
        <v>1.5945990529633906E-2</v>
      </c>
      <c r="AI34" t="s">
        <v>161</v>
      </c>
      <c r="AK34" s="52">
        <f>GAMMADIST($AJ$30,$AJ$26, 1, TRUE)</f>
        <v>4.9959443301216531E-4</v>
      </c>
    </row>
    <row r="36" spans="1:39">
      <c r="A36" t="s">
        <v>63</v>
      </c>
      <c r="C36">
        <f>EXP(GAMMALN($B$26))</f>
        <v>0.88622692539526249</v>
      </c>
      <c r="I36" t="s">
        <v>64</v>
      </c>
      <c r="K36">
        <f>EXP(GAMMALN($J$26))</f>
        <v>1.3293403880407133</v>
      </c>
      <c r="P36" t="s">
        <v>65</v>
      </c>
      <c r="R36">
        <f>EXP(GAMMALN($Q$26))</f>
        <v>3.3233509700025894</v>
      </c>
      <c r="V36" t="s">
        <v>66</v>
      </c>
      <c r="X36">
        <f>EXP(GAMMALN($W$26))</f>
        <v>3.3233509700025894</v>
      </c>
      <c r="AB36" t="s">
        <v>67</v>
      </c>
      <c r="AD36">
        <f>EXP(GAMMALN($AC$26))</f>
        <v>0.88622692539526249</v>
      </c>
      <c r="AI36" t="s">
        <v>162</v>
      </c>
      <c r="AK36">
        <f>EXP(GAMMALN($AJ$26))</f>
        <v>1.3293403880407133</v>
      </c>
    </row>
    <row r="38" spans="1:39">
      <c r="A38" t="s">
        <v>68</v>
      </c>
      <c r="C38">
        <f>EXP(-$B$30)*$B$30^$B$26/$C$36</f>
        <v>8.5219169431586615E-3</v>
      </c>
      <c r="I38" t="s">
        <v>69</v>
      </c>
      <c r="K38">
        <f>EXP(-$J$30)*$J$30^$J$26/$K$36</f>
        <v>2.2453123860812486E-4</v>
      </c>
      <c r="P38" t="s">
        <v>70</v>
      </c>
      <c r="R38">
        <f>EXP(-$Q$30)*$Q$30^$Q$26/$R$36</f>
        <v>3.5495025905571719E-6</v>
      </c>
      <c r="V38" t="s">
        <v>71</v>
      </c>
      <c r="X38">
        <f>EXP(-$W$30)*$W$30^$W$26/$X$36</f>
        <v>3.5495025905571719E-6</v>
      </c>
      <c r="AB38" t="s">
        <v>72</v>
      </c>
      <c r="AD38">
        <f>EXP(-$AC$30)*$AC$30^$AC$26/$AD$36</f>
        <v>2.3169594195745862E-2</v>
      </c>
      <c r="AI38" t="s">
        <v>163</v>
      </c>
      <c r="AK38">
        <f>EXP(-$AJ$30)*$AJ$30^$AJ$26/$AK$36</f>
        <v>1.2209219398681913E-3</v>
      </c>
    </row>
    <row r="41" spans="1:39">
      <c r="A41" t="s">
        <v>73</v>
      </c>
      <c r="C41">
        <f>($B$26-1-$B$30)/(2*$B$28)</f>
        <v>0.46047874437812431</v>
      </c>
      <c r="I41" t="s">
        <v>74</v>
      </c>
      <c r="K41">
        <f>($J$26-1-$J$30)/(2*$J$28)</f>
        <v>1.4604787443781242</v>
      </c>
      <c r="P41" t="s">
        <v>75</v>
      </c>
      <c r="R41">
        <f>($Q$26-1-$Q$30)/(2*$Q$28)</f>
        <v>2.4604787443781242</v>
      </c>
      <c r="V41" t="s">
        <v>76</v>
      </c>
      <c r="X41">
        <f>($W$26-1-$W$30)/(2*$W$28)</f>
        <v>2.4604787443781242</v>
      </c>
      <c r="AB41" t="s">
        <v>77</v>
      </c>
      <c r="AD41">
        <f>($AC$26-1-$AC$30)/(2*$AC$28)</f>
        <v>0.21047874437812428</v>
      </c>
      <c r="AI41" t="s">
        <v>164</v>
      </c>
      <c r="AK41">
        <f>($AJ$26-1-$AJ$30)/(2*$AJ$28)</f>
        <v>0.71047874437812431</v>
      </c>
    </row>
    <row r="43" spans="1:39">
      <c r="A43" t="s">
        <v>78</v>
      </c>
      <c r="E43">
        <f>($B$26^3/2-5*$B$26^2/3+3*$B$26/2-(1/3))</f>
        <v>-0.14583333333333331</v>
      </c>
      <c r="I43" t="s">
        <v>79</v>
      </c>
      <c r="M43">
        <f>($J$26^3/2-5*$J$26^2/3+3*$J$26/2-(1/3))</f>
        <v>0.81250000000000067</v>
      </c>
      <c r="P43" t="s">
        <v>80</v>
      </c>
      <c r="T43">
        <f>($Q$26^3/2-5*$Q$26^2/3+3*$Q$26/2-(1/3))</f>
        <v>5.9374999999999991</v>
      </c>
      <c r="V43" t="s">
        <v>81</v>
      </c>
      <c r="Z43">
        <f>($W$26^3/2-5*$W$26^2/3+3*$W$26/2-(1/3))</f>
        <v>5.9374999999999991</v>
      </c>
      <c r="AB43" t="s">
        <v>82</v>
      </c>
      <c r="AF43">
        <f>($AC$26^3/2-5*$AC$26^2/3+3*$AC$26/2-(1/3))</f>
        <v>-0.14583333333333331</v>
      </c>
      <c r="AI43" t="s">
        <v>165</v>
      </c>
      <c r="AM43">
        <f>($AJ$26^3/2-5*$AJ$26^2/3+3*$AJ$26/2-(1/3))</f>
        <v>0.81250000000000067</v>
      </c>
    </row>
    <row r="47" spans="1:39">
      <c r="A47" t="s">
        <v>83</v>
      </c>
      <c r="E47">
        <f>B30*(3*$B$26^2/2-11*$B$26/6+(1/3))</f>
        <v>3.78745366376309E-2</v>
      </c>
      <c r="I47" t="s">
        <v>84</v>
      </c>
      <c r="M47">
        <f>$J$30*(3*$J$26^2/2-11*$J$26/6+(1/3))</f>
        <v>0.20254643506211309</v>
      </c>
      <c r="P47" t="s">
        <v>85</v>
      </c>
      <c r="T47">
        <f>$Q$30*(3*$Q$26^2/2-11*$Q$26/6+(1/3))</f>
        <v>0.48578210035222241</v>
      </c>
      <c r="V47" t="s">
        <v>86</v>
      </c>
      <c r="Z47">
        <f>$W$30*(3*$W$26^2/2-11*$W$26/6+(1/3))</f>
        <v>0.48578210035222241</v>
      </c>
      <c r="AB47" t="s">
        <v>87</v>
      </c>
      <c r="AF47">
        <f>$AC$30*(3*$AC$26^2/2-11*$AC$26/6+(1/3))</f>
        <v>7.57490732752618E-2</v>
      </c>
      <c r="AI47" t="s">
        <v>166</v>
      </c>
      <c r="AM47">
        <f>$AJ$30*(3*$AJ$26^2/2-11*$AJ$26/6+(1/3))</f>
        <v>0.40509287012422618</v>
      </c>
    </row>
    <row r="50" spans="1:39">
      <c r="A50" t="s">
        <v>88</v>
      </c>
      <c r="E50" s="53">
        <f>B30^2*(3*$B$26/2-(1/6))</f>
        <v>3.2540200956867574E-3</v>
      </c>
      <c r="I50" t="s">
        <v>89</v>
      </c>
      <c r="M50" s="53">
        <f>J30^2*(3*$J$26/2-(1/6))</f>
        <v>5.5969145645812226E-3</v>
      </c>
      <c r="P50" t="s">
        <v>90</v>
      </c>
      <c r="T50" s="53">
        <f>Q30^2*(3*$Q$26/2-(1/6))</f>
        <v>7.9398090334756866E-3</v>
      </c>
      <c r="V50" t="s">
        <v>91</v>
      </c>
      <c r="Z50" s="53">
        <f>W30^2*(3*$W$26/2-(1/6))</f>
        <v>7.9398090334756866E-3</v>
      </c>
      <c r="AB50" t="s">
        <v>92</v>
      </c>
      <c r="AF50" s="53">
        <f>AC30^2*(3*$AC$26/2-(1/6))</f>
        <v>1.301608038274703E-2</v>
      </c>
      <c r="AI50" t="s">
        <v>167</v>
      </c>
      <c r="AM50" s="53">
        <f>AJ30^2*(3*$AJ$26/2-(1/6))</f>
        <v>2.2387658258324891E-2</v>
      </c>
    </row>
    <row r="54" spans="1:39">
      <c r="A54" t="s">
        <v>93</v>
      </c>
      <c r="E54" s="53">
        <f>C34/C36+C38*(C41+(1/(2*$B$28)^2)*(E43-E47+E50-B30^3/2))</f>
        <v>8.8992185714912818E-3</v>
      </c>
      <c r="I54" t="s">
        <v>94</v>
      </c>
      <c r="M54" s="53">
        <f>K34/K36+K38*(K41+(1/(2*$J$28)^2)*(M43-M47+M50-J30^3/2))</f>
        <v>5.3445782302091206E-4</v>
      </c>
      <c r="P54" t="s">
        <v>95</v>
      </c>
      <c r="T54" s="53">
        <f>R34/R36+R38*(R41+(1/(2*$Q$28)^2)*(T43-T47+T50-Q30^3/2))</f>
        <v>2.8420291655543519E-5</v>
      </c>
      <c r="V54" t="s">
        <v>96</v>
      </c>
      <c r="Z54" s="53">
        <f>X34/X36+X38*(X41+(1/(2*$W$28)^2)*(Z43-Z47+Z50-W30^3/2))</f>
        <v>2.8420291655543519E-5</v>
      </c>
      <c r="AB54" t="s">
        <v>97</v>
      </c>
      <c r="AF54" s="53">
        <f>AD34/AD36+AD38*(AD41+(1/(2*$AC$28)^2)*(AF43-AF47+AF50-AC30^3/2))</f>
        <v>2.166030107656235E-2</v>
      </c>
      <c r="AI54" t="s">
        <v>168</v>
      </c>
      <c r="AM54" s="53">
        <f>AK34/AK36+AK38*(AK41+(1/(2*$AC$28)^2)*(AM43-AM47+AM50-AJ30^3/2))</f>
        <v>1.3743714918132289E-3</v>
      </c>
    </row>
    <row r="57" spans="1:39">
      <c r="A57" t="s">
        <v>98</v>
      </c>
      <c r="F57" s="53">
        <f>(1/2)*$E$54</f>
        <v>4.4496092857456409E-3</v>
      </c>
    </row>
    <row r="61" spans="1:39">
      <c r="A61" t="s">
        <v>99</v>
      </c>
    </row>
    <row r="67" spans="1:5">
      <c r="A67" t="s">
        <v>100</v>
      </c>
      <c r="D67">
        <f>1/(6*SQRT(2*$C$20*PI()))</f>
        <v>3.3245190033452728E-2</v>
      </c>
    </row>
    <row r="71" spans="1:5">
      <c r="A71" t="s">
        <v>101</v>
      </c>
      <c r="D71">
        <f>1+(2*C20-1)*C22/(C20-1)</f>
        <v>11.594973336658979</v>
      </c>
    </row>
    <row r="75" spans="1:5">
      <c r="A75" t="s">
        <v>102</v>
      </c>
      <c r="E75">
        <f>(1+C22^2/(C20-1))^((C20+1)/2)</f>
        <v>173.90170982850756</v>
      </c>
    </row>
    <row r="79" spans="1:5">
      <c r="A79" t="s">
        <v>103</v>
      </c>
      <c r="E79">
        <f>D67*D71/E75</f>
        <v>2.2166377339830749E-3</v>
      </c>
    </row>
    <row r="83" spans="1:5">
      <c r="A83" t="s">
        <v>104</v>
      </c>
    </row>
    <row r="88" spans="1:5">
      <c r="A88" t="s">
        <v>105</v>
      </c>
      <c r="E88">
        <f>(C20-1)/(3*SQRT(2*C20*PI()))</f>
        <v>0.19947114020071635</v>
      </c>
    </row>
    <row r="92" spans="1:5">
      <c r="A92" t="s">
        <v>106</v>
      </c>
      <c r="E92">
        <f>(2*$C$20-1)/(6*SQRT(2*$C$20*PI()))</f>
        <v>0.23271633023416907</v>
      </c>
    </row>
    <row r="96" spans="1:5">
      <c r="A96" t="s">
        <v>107</v>
      </c>
      <c r="E96" s="53">
        <f>E92*AF54-E88*AM54</f>
        <v>4.7665583297734669E-3</v>
      </c>
    </row>
    <row r="99" spans="1:7">
      <c r="A99" t="s">
        <v>108</v>
      </c>
    </row>
    <row r="102" spans="1:7">
      <c r="A102" t="s">
        <v>109</v>
      </c>
      <c r="F102" s="53">
        <f>((C20-1)/24)*E54</f>
        <v>1.1124023214364102E-3</v>
      </c>
    </row>
    <row r="107" spans="1:7">
      <c r="A107" t="s">
        <v>110</v>
      </c>
      <c r="G107" s="53">
        <f>((C20-1)*(C20+2)/(12*C20))*M54</f>
        <v>2.0042168363284201E-4</v>
      </c>
    </row>
    <row r="111" spans="1:7">
      <c r="A111" t="s">
        <v>111</v>
      </c>
      <c r="G111" s="53">
        <f>((C20+4)*(C20-1)/(24*C20))*T54</f>
        <v>7.1050729138858798E-6</v>
      </c>
    </row>
    <row r="115" spans="1:7">
      <c r="A115" t="s">
        <v>103</v>
      </c>
      <c r="G115" s="53">
        <f>F102-G107+G111</f>
        <v>9.1908571071745401E-4</v>
      </c>
    </row>
    <row r="118" spans="1:7">
      <c r="A118" t="s">
        <v>112</v>
      </c>
    </row>
    <row r="123" spans="1:7">
      <c r="G123" s="53">
        <f>((C20-1)*(2*C20+5)/72)*E54</f>
        <v>4.8204100595577769E-3</v>
      </c>
    </row>
    <row r="124" spans="1:7">
      <c r="A124" t="s">
        <v>113</v>
      </c>
    </row>
    <row r="127" spans="1:7">
      <c r="G127" s="53">
        <f>((C20-1)*(2*C20^2+5*C20+8)/(24*C20))*M54</f>
        <v>1.0021084181642101E-3</v>
      </c>
    </row>
    <row r="128" spans="1:7">
      <c r="A128" t="s">
        <v>114</v>
      </c>
    </row>
    <row r="132" spans="1:10">
      <c r="A132" t="s">
        <v>115</v>
      </c>
      <c r="G132" s="53">
        <f>((C20-1)*(2*C20^2+5*C20+12)/(24*C20))*T54</f>
        <v>5.6840583311087039E-5</v>
      </c>
    </row>
    <row r="136" spans="1:10">
      <c r="A136" t="s">
        <v>116</v>
      </c>
      <c r="H136" s="53">
        <f>((C20-1)*(2*C20^2+5*C20+12)/(72*C20))*Z54</f>
        <v>1.8946861103695677E-5</v>
      </c>
    </row>
    <row r="141" spans="1:10">
      <c r="A141" t="s">
        <v>107</v>
      </c>
      <c r="C141" s="53">
        <f>G123-G127+G132-H136</f>
        <v>3.8561953636009581E-3</v>
      </c>
    </row>
    <row r="143" spans="1:10">
      <c r="A143" t="s">
        <v>117</v>
      </c>
      <c r="J143" s="55">
        <f>F57+H16*E96-H18*G115+(H16^2)*C141</f>
        <v>1.0022713401247539E-2</v>
      </c>
    </row>
  </sheetData>
  <mergeCells count="14">
    <mergeCell ref="A2:F2"/>
    <mergeCell ref="A7:H7"/>
    <mergeCell ref="A24:B24"/>
    <mergeCell ref="I24:J24"/>
    <mergeCell ref="P24:Q24"/>
    <mergeCell ref="AB24:AC24"/>
    <mergeCell ref="AI24:AJ24"/>
    <mergeCell ref="A32:E32"/>
    <mergeCell ref="I32:M32"/>
    <mergeCell ref="P32:T32"/>
    <mergeCell ref="V32:Z32"/>
    <mergeCell ref="AB32:AF32"/>
    <mergeCell ref="AI32:AM32"/>
    <mergeCell ref="V24:W24"/>
  </mergeCells>
  <pageMargins left="0.7" right="0.7" top="0.75" bottom="0.75" header="0.3" footer="0.3"/>
  <pageSetup orientation="portrait" r:id="rId1"/>
  <drawing r:id="rId2"/>
  <legacyDrawing r:id="rId3"/>
  <oleObjects>
    <oleObject progId="Equation.DSMT4" shapeId="12289" r:id="rId4"/>
    <oleObject progId="Equation.DSMT4" shapeId="12290" r:id="rId5"/>
    <oleObject progId="Equation.DSMT4" shapeId="12291" r:id="rId6"/>
    <oleObject progId="Equation.DSMT4" shapeId="12292" r:id="rId7"/>
    <oleObject progId="Equation.DSMT4" shapeId="12293" r:id="rId8"/>
    <oleObject progId="Equation.DSMT4" shapeId="12294" r:id="rId9"/>
    <oleObject progId="Equation.DSMT4" shapeId="12295" r:id="rId10"/>
    <oleObject progId="Equation.3" shapeId="12296" r:id="rId11"/>
    <oleObject progId="Equation.DSMT4" shapeId="12297" r:id="rId12"/>
    <oleObject progId="Equation.DSMT4" shapeId="12298" r:id="rId13"/>
    <oleObject progId="Equation.DSMT4" shapeId="12299" r:id="rId14"/>
    <oleObject progId="Equation.DSMT4" shapeId="12300" r:id="rId15"/>
    <oleObject progId="Equation.DSMT4" shapeId="12301" r:id="rId16"/>
    <oleObject progId="Equation.DSMT4" shapeId="12302" r:id="rId17"/>
    <oleObject progId="Equation.DSMT4" shapeId="12303" r:id="rId18"/>
    <oleObject progId="Equation.3" shapeId="12304" r:id="rId19"/>
    <oleObject progId="Equation.DSMT4" shapeId="12305" r:id="rId20"/>
    <oleObject progId="Equation.DSMT4" shapeId="12306" r:id="rId21"/>
    <oleObject progId="Equation.DSMT4" shapeId="12307" r:id="rId22"/>
    <oleObject progId="Equation.DSMT4" shapeId="12308" r:id="rId23"/>
    <oleObject progId="Equation.DSMT4" shapeId="12309" r:id="rId24"/>
    <oleObject progId="Equation.DSMT4" shapeId="12310" r:id="rId25"/>
    <oleObject progId="Equation.DSMT4" shapeId="12311" r:id="rId26"/>
    <oleObject progId="Equation.3" shapeId="12312" r:id="rId27"/>
    <oleObject progId="Equation.DSMT4" shapeId="12313" r:id="rId28"/>
    <oleObject progId="Equation.DSMT4" shapeId="12314" r:id="rId29"/>
    <oleObject progId="Equation.DSMT4" shapeId="12315" r:id="rId30"/>
    <oleObject progId="Equation.DSMT4" shapeId="12316" r:id="rId31"/>
    <oleObject progId="Equation.DSMT4" shapeId="12317" r:id="rId32"/>
    <oleObject progId="Equation.DSMT4" shapeId="12318" r:id="rId33"/>
    <oleObject progId="Equation.DSMT4" shapeId="12319" r:id="rId34"/>
    <oleObject progId="Equation.DSMT4" shapeId="12320" r:id="rId35"/>
    <oleObject progId="Equation.DSMT4" shapeId="12321" r:id="rId36"/>
    <oleObject progId="Equation.DSMT4" shapeId="12322" r:id="rId37"/>
    <oleObject progId="Equation.3" shapeId="12323" r:id="rId38"/>
    <oleObject progId="Equation.DSMT4" shapeId="12324" r:id="rId39"/>
    <oleObject progId="Equation.DSMT4" shapeId="12325" r:id="rId40"/>
    <oleObject progId="Equation.DSMT4" shapeId="12326" r:id="rId41"/>
    <oleObject progId="Equation.DSMT4" shapeId="12327" r:id="rId42"/>
    <oleObject progId="Equation.DSMT4" shapeId="12328" r:id="rId43"/>
    <oleObject progId="Equation.DSMT4" shapeId="12329" r:id="rId44"/>
    <oleObject progId="Equation.DSMT4" shapeId="12330" r:id="rId45"/>
    <oleObject progId="Equation.3" shapeId="12331" r:id="rId46"/>
    <oleObject progId="Equation.DSMT4" shapeId="12332" r:id="rId47"/>
    <oleObject progId="Equation.DSMT4" shapeId="12333" r:id="rId48"/>
    <oleObject progId="Equation.DSMT4" shapeId="12334" r:id="rId49"/>
    <oleObject progId="Equation.DSMT4" shapeId="12335" r:id="rId50"/>
    <oleObject progId="Equation.DSMT4" shapeId="12336" r:id="rId51"/>
    <oleObject progId="Equation.DSMT4" shapeId="12337" r:id="rId52"/>
    <oleObject progId="Equation.DSMT4" shapeId="12338" r:id="rId53"/>
    <oleObject progId="Equation.DSMT4" shapeId="12339" r:id="rId54"/>
    <oleObject progId="Equation.DSMT4" shapeId="12340" r:id="rId55"/>
    <oleObject progId="Equation.DSMT4" shapeId="12341" r:id="rId56"/>
    <oleObject progId="Equation.DSMT4" shapeId="12342" r:id="rId57"/>
    <oleObject progId="Equation.DSMT4" shapeId="12343" r:id="rId58"/>
    <oleObject progId="Equation.DSMT4" shapeId="12344" r:id="rId59"/>
    <oleObject progId="Equation.DSMT4" shapeId="12345" r:id="rId60"/>
    <oleObject progId="Equation.DSMT4" shapeId="12346" r:id="rId61"/>
    <oleObject progId="Equation.DSMT4" shapeId="12347" r:id="rId62"/>
    <oleObject progId="Equation.DSMT4" shapeId="12348" r:id="rId63"/>
    <oleObject progId="Equation.DSMT4" shapeId="12349" r:id="rId64"/>
    <oleObject progId="Equation.DSMT4" shapeId="12350" r:id="rId65"/>
    <oleObject progId="Equation.DSMT4" shapeId="12351" r:id="rId66"/>
    <oleObject progId="Equation.DSMT4" shapeId="12352" r:id="rId67"/>
    <oleObject progId="Equation.DSMT4" shapeId="12353" r:id="rId68"/>
    <oleObject progId="Equation.3" shapeId="12354" r:id="rId69"/>
  </oleObjects>
</worksheet>
</file>

<file path=xl/worksheets/sheet16.xml><?xml version="1.0" encoding="utf-8"?>
<worksheet xmlns="http://schemas.openxmlformats.org/spreadsheetml/2006/main" xmlns:r="http://schemas.openxmlformats.org/officeDocument/2006/relationships">
  <dimension ref="A1:BE33"/>
  <sheetViews>
    <sheetView workbookViewId="0">
      <pane xSplit="3" ySplit="3" topLeftCell="D4" activePane="bottomRight" state="frozen"/>
      <selection activeCell="B34" sqref="B34"/>
      <selection pane="topRight" activeCell="B34" sqref="B34"/>
      <selection pane="bottomLeft" activeCell="B34" sqref="B34"/>
      <selection pane="bottomRight" activeCell="B34" sqref="B34"/>
    </sheetView>
  </sheetViews>
  <sheetFormatPr defaultColWidth="105.85546875" defaultRowHeight="15"/>
  <cols>
    <col min="1" max="1" width="12.42578125" style="147" bestFit="1" customWidth="1"/>
    <col min="2" max="2" width="9.85546875" style="147" bestFit="1" customWidth="1"/>
    <col min="3" max="3" width="35.5703125" style="147" bestFit="1" customWidth="1"/>
    <col min="4" max="4" width="13.7109375" style="147" bestFit="1" customWidth="1"/>
    <col min="5" max="5" width="19.28515625" style="145" bestFit="1" customWidth="1"/>
    <col min="6" max="6" width="9" style="145" bestFit="1" customWidth="1"/>
    <col min="7" max="7" width="18.85546875" style="147" bestFit="1" customWidth="1"/>
    <col min="8" max="8" width="25" style="147" bestFit="1" customWidth="1"/>
    <col min="9" max="9" width="21.140625" style="147" bestFit="1" customWidth="1"/>
    <col min="10" max="10" width="20.140625" style="147" bestFit="1" customWidth="1"/>
    <col min="11" max="11" width="16.42578125" style="147" customWidth="1"/>
    <col min="12" max="12" width="56.28515625" style="147" customWidth="1"/>
    <col min="13" max="13" width="24.7109375" style="147" bestFit="1" customWidth="1"/>
    <col min="14" max="14" width="28.85546875" style="147" bestFit="1" customWidth="1"/>
    <col min="15" max="15" width="35.7109375" style="147" bestFit="1" customWidth="1"/>
    <col min="16" max="16" width="40.140625" style="147" bestFit="1" customWidth="1"/>
    <col min="17" max="17" width="34.7109375" style="147" bestFit="1" customWidth="1"/>
    <col min="18" max="18" width="39.140625" style="147" bestFit="1" customWidth="1"/>
    <col min="19" max="19" width="39.140625" style="165" customWidth="1"/>
    <col min="20" max="20" width="24.5703125" style="147" bestFit="1" customWidth="1"/>
    <col min="21" max="21" width="56.5703125" style="147" bestFit="1" customWidth="1"/>
    <col min="22" max="23" width="15.5703125" style="147" bestFit="1" customWidth="1"/>
    <col min="24" max="24" width="56.5703125" style="147" bestFit="1" customWidth="1"/>
    <col min="25" max="26" width="15.5703125" style="147" bestFit="1" customWidth="1"/>
    <col min="27" max="27" width="14.42578125" style="147" bestFit="1" customWidth="1"/>
    <col min="28" max="29" width="15.5703125" style="147" bestFit="1" customWidth="1"/>
    <col min="30" max="30" width="14.42578125" style="147" bestFit="1" customWidth="1"/>
    <col min="31" max="32" width="15.5703125" style="147" bestFit="1" customWidth="1"/>
    <col min="33" max="33" width="14.42578125" style="147" bestFit="1" customWidth="1"/>
    <col min="34" max="35" width="15.5703125" style="147" bestFit="1" customWidth="1"/>
    <col min="36" max="36" width="14.42578125" style="147" bestFit="1" customWidth="1"/>
    <col min="37" max="38" width="15.5703125" style="147" bestFit="1" customWidth="1"/>
    <col min="39" max="39" width="14.42578125" style="147" bestFit="1" customWidth="1"/>
    <col min="40" max="41" width="15.5703125" style="147" bestFit="1" customWidth="1"/>
    <col min="42" max="42" width="14.42578125" style="147" bestFit="1" customWidth="1"/>
    <col min="43" max="44" width="15.5703125" style="147" bestFit="1" customWidth="1"/>
    <col min="45" max="45" width="14.42578125" style="147" bestFit="1" customWidth="1"/>
    <col min="46" max="46" width="15.5703125" style="147" bestFit="1" customWidth="1"/>
    <col min="47" max="47" width="16.5703125" style="147" bestFit="1" customWidth="1"/>
    <col min="48" max="48" width="15.42578125" style="147" bestFit="1" customWidth="1"/>
    <col min="49" max="50" width="16.5703125" style="147" bestFit="1" customWidth="1"/>
    <col min="51" max="51" width="15.42578125" style="147" bestFit="1" customWidth="1"/>
    <col min="52" max="53" width="16.5703125" style="147" bestFit="1" customWidth="1"/>
    <col min="54" max="54" width="15.42578125" style="147" bestFit="1" customWidth="1"/>
    <col min="55" max="55" width="16.5703125" style="147" bestFit="1" customWidth="1"/>
    <col min="56" max="56" width="15.42578125" style="147" bestFit="1" customWidth="1"/>
    <col min="57" max="57" width="14.5703125" style="147" bestFit="1" customWidth="1"/>
    <col min="58" max="16384" width="105.85546875" style="147"/>
  </cols>
  <sheetData>
    <row r="1" spans="1:57">
      <c r="A1" s="145">
        <v>1</v>
      </c>
      <c r="B1" s="145">
        <f>A1+1</f>
        <v>2</v>
      </c>
      <c r="C1" s="145">
        <f t="shared" ref="C1:R1" si="0">B1+1</f>
        <v>3</v>
      </c>
      <c r="D1" s="145">
        <f t="shared" si="0"/>
        <v>4</v>
      </c>
      <c r="E1" s="145">
        <f t="shared" si="0"/>
        <v>5</v>
      </c>
      <c r="F1" s="145">
        <f t="shared" si="0"/>
        <v>6</v>
      </c>
      <c r="G1" s="145">
        <f t="shared" si="0"/>
        <v>7</v>
      </c>
      <c r="H1" s="145">
        <f t="shared" si="0"/>
        <v>8</v>
      </c>
      <c r="I1" s="145">
        <f t="shared" si="0"/>
        <v>9</v>
      </c>
      <c r="J1" s="145">
        <f t="shared" si="0"/>
        <v>10</v>
      </c>
      <c r="K1" s="145">
        <f t="shared" si="0"/>
        <v>11</v>
      </c>
      <c r="L1" s="145">
        <f t="shared" si="0"/>
        <v>12</v>
      </c>
      <c r="M1" s="145">
        <f t="shared" si="0"/>
        <v>13</v>
      </c>
      <c r="N1" s="145">
        <f t="shared" si="0"/>
        <v>14</v>
      </c>
      <c r="O1" s="145">
        <f t="shared" si="0"/>
        <v>15</v>
      </c>
      <c r="P1" s="145">
        <f t="shared" si="0"/>
        <v>16</v>
      </c>
      <c r="Q1" s="145">
        <f t="shared" si="0"/>
        <v>17</v>
      </c>
      <c r="R1" s="145">
        <f t="shared" si="0"/>
        <v>18</v>
      </c>
      <c r="S1" s="146" t="s">
        <v>448</v>
      </c>
      <c r="T1" s="145">
        <f t="shared" ref="T1" si="1">R1+1</f>
        <v>19</v>
      </c>
      <c r="U1" s="145">
        <f t="shared" ref="U1:BD1" si="2">T1+1</f>
        <v>20</v>
      </c>
      <c r="V1" s="145">
        <f t="shared" si="2"/>
        <v>21</v>
      </c>
      <c r="W1" s="145">
        <f t="shared" si="2"/>
        <v>22</v>
      </c>
      <c r="X1" s="145">
        <f t="shared" si="2"/>
        <v>23</v>
      </c>
      <c r="Y1" s="145">
        <f t="shared" si="2"/>
        <v>24</v>
      </c>
      <c r="Z1" s="145">
        <f t="shared" si="2"/>
        <v>25</v>
      </c>
      <c r="AA1" s="145">
        <f t="shared" si="2"/>
        <v>26</v>
      </c>
      <c r="AB1" s="145">
        <f t="shared" si="2"/>
        <v>27</v>
      </c>
      <c r="AC1" s="145">
        <f t="shared" si="2"/>
        <v>28</v>
      </c>
      <c r="AD1" s="145">
        <f t="shared" si="2"/>
        <v>29</v>
      </c>
      <c r="AE1" s="145">
        <f t="shared" si="2"/>
        <v>30</v>
      </c>
      <c r="AF1" s="145">
        <f t="shared" si="2"/>
        <v>31</v>
      </c>
      <c r="AG1" s="145">
        <f t="shared" si="2"/>
        <v>32</v>
      </c>
      <c r="AH1" s="145">
        <f t="shared" si="2"/>
        <v>33</v>
      </c>
      <c r="AI1" s="145">
        <f t="shared" si="2"/>
        <v>34</v>
      </c>
      <c r="AJ1" s="145">
        <f t="shared" si="2"/>
        <v>35</v>
      </c>
      <c r="AK1" s="145">
        <f t="shared" si="2"/>
        <v>36</v>
      </c>
      <c r="AL1" s="145">
        <f t="shared" si="2"/>
        <v>37</v>
      </c>
      <c r="AM1" s="145">
        <f t="shared" si="2"/>
        <v>38</v>
      </c>
      <c r="AN1" s="145">
        <f t="shared" si="2"/>
        <v>39</v>
      </c>
      <c r="AO1" s="145">
        <f t="shared" si="2"/>
        <v>40</v>
      </c>
      <c r="AP1" s="145">
        <f t="shared" si="2"/>
        <v>41</v>
      </c>
      <c r="AQ1" s="145">
        <f t="shared" si="2"/>
        <v>42</v>
      </c>
      <c r="AR1" s="145">
        <f t="shared" si="2"/>
        <v>43</v>
      </c>
      <c r="AS1" s="145">
        <f t="shared" si="2"/>
        <v>44</v>
      </c>
      <c r="AT1" s="145">
        <f t="shared" si="2"/>
        <v>45</v>
      </c>
      <c r="AU1" s="145">
        <f t="shared" si="2"/>
        <v>46</v>
      </c>
      <c r="AV1" s="145">
        <f t="shared" si="2"/>
        <v>47</v>
      </c>
      <c r="AW1" s="145">
        <f t="shared" si="2"/>
        <v>48</v>
      </c>
      <c r="AX1" s="145">
        <f t="shared" si="2"/>
        <v>49</v>
      </c>
      <c r="AY1" s="145">
        <f t="shared" si="2"/>
        <v>50</v>
      </c>
      <c r="AZ1" s="145">
        <f t="shared" si="2"/>
        <v>51</v>
      </c>
      <c r="BA1" s="145">
        <f t="shared" si="2"/>
        <v>52</v>
      </c>
      <c r="BB1" s="145">
        <f t="shared" si="2"/>
        <v>53</v>
      </c>
      <c r="BC1" s="145">
        <f t="shared" si="2"/>
        <v>54</v>
      </c>
      <c r="BD1" s="145">
        <f t="shared" si="2"/>
        <v>55</v>
      </c>
    </row>
    <row r="2" spans="1:57">
      <c r="A2" s="148" t="s">
        <v>384</v>
      </c>
      <c r="B2" s="148" t="s">
        <v>449</v>
      </c>
      <c r="C2" s="148" t="s">
        <v>387</v>
      </c>
      <c r="D2" s="148" t="s">
        <v>450</v>
      </c>
      <c r="E2" s="148" t="s">
        <v>451</v>
      </c>
      <c r="F2" s="148" t="s">
        <v>182</v>
      </c>
      <c r="G2" s="148" t="s">
        <v>388</v>
      </c>
      <c r="H2" s="148" t="s">
        <v>389</v>
      </c>
      <c r="I2" s="148" t="s">
        <v>391</v>
      </c>
      <c r="J2" s="148" t="s">
        <v>390</v>
      </c>
      <c r="K2" s="148" t="s">
        <v>452</v>
      </c>
      <c r="L2" s="148" t="s">
        <v>453</v>
      </c>
      <c r="M2" s="148" t="s">
        <v>454</v>
      </c>
      <c r="N2" s="148" t="s">
        <v>455</v>
      </c>
      <c r="O2" s="148" t="s">
        <v>456</v>
      </c>
      <c r="P2" s="148" t="s">
        <v>457</v>
      </c>
      <c r="Q2" s="148" t="s">
        <v>458</v>
      </c>
      <c r="R2" s="148" t="s">
        <v>459</v>
      </c>
      <c r="S2" s="149"/>
      <c r="T2" s="148" t="s">
        <v>400</v>
      </c>
      <c r="U2" s="148" t="s">
        <v>401</v>
      </c>
      <c r="V2" s="148" t="s">
        <v>402</v>
      </c>
      <c r="W2" s="148" t="s">
        <v>403</v>
      </c>
      <c r="X2" s="148" t="s">
        <v>404</v>
      </c>
      <c r="Y2" s="148" t="s">
        <v>405</v>
      </c>
      <c r="Z2" s="148" t="s">
        <v>406</v>
      </c>
      <c r="AA2" s="148" t="s">
        <v>407</v>
      </c>
      <c r="AB2" s="148" t="s">
        <v>408</v>
      </c>
      <c r="AC2" s="148" t="s">
        <v>409</v>
      </c>
      <c r="AD2" s="148" t="s">
        <v>410</v>
      </c>
      <c r="AE2" s="148" t="s">
        <v>411</v>
      </c>
      <c r="AF2" s="148" t="s">
        <v>412</v>
      </c>
      <c r="AG2" s="148" t="s">
        <v>413</v>
      </c>
      <c r="AH2" s="148" t="s">
        <v>414</v>
      </c>
      <c r="AI2" s="148" t="s">
        <v>415</v>
      </c>
      <c r="AJ2" s="148" t="s">
        <v>416</v>
      </c>
      <c r="AK2" s="148" t="s">
        <v>417</v>
      </c>
      <c r="AL2" s="148" t="s">
        <v>418</v>
      </c>
      <c r="AM2" s="148" t="s">
        <v>419</v>
      </c>
      <c r="AN2" s="148" t="s">
        <v>420</v>
      </c>
      <c r="AO2" s="148" t="s">
        <v>421</v>
      </c>
      <c r="AP2" s="148" t="s">
        <v>422</v>
      </c>
      <c r="AQ2" s="148" t="s">
        <v>423</v>
      </c>
      <c r="AR2" s="148" t="s">
        <v>424</v>
      </c>
      <c r="AS2" s="148" t="s">
        <v>425</v>
      </c>
      <c r="AT2" s="148" t="s">
        <v>426</v>
      </c>
      <c r="AU2" s="148" t="s">
        <v>427</v>
      </c>
      <c r="AV2" s="148" t="s">
        <v>428</v>
      </c>
      <c r="AW2" s="148" t="s">
        <v>429</v>
      </c>
      <c r="AX2" s="148" t="s">
        <v>430</v>
      </c>
      <c r="AY2" s="148" t="s">
        <v>431</v>
      </c>
      <c r="AZ2" s="148" t="s">
        <v>432</v>
      </c>
      <c r="BA2" s="148" t="s">
        <v>433</v>
      </c>
      <c r="BB2" s="148" t="s">
        <v>434</v>
      </c>
      <c r="BC2" s="148" t="s">
        <v>435</v>
      </c>
    </row>
    <row r="3" spans="1:57" s="154" customFormat="1">
      <c r="A3" s="150"/>
      <c r="B3" s="150"/>
      <c r="C3" s="150"/>
      <c r="D3" s="150"/>
      <c r="E3" s="150"/>
      <c r="F3" s="150"/>
      <c r="G3" s="150"/>
      <c r="H3" s="150"/>
      <c r="I3" s="150" t="s">
        <v>460</v>
      </c>
      <c r="J3" s="150" t="s">
        <v>461</v>
      </c>
      <c r="K3" s="150" t="s">
        <v>462</v>
      </c>
      <c r="L3" s="150"/>
      <c r="M3" s="151" t="s">
        <v>192</v>
      </c>
      <c r="N3" s="151" t="s">
        <v>463</v>
      </c>
      <c r="O3" s="151" t="s">
        <v>192</v>
      </c>
      <c r="P3" s="151" t="s">
        <v>463</v>
      </c>
      <c r="Q3" s="151" t="s">
        <v>192</v>
      </c>
      <c r="R3" s="151" t="s">
        <v>463</v>
      </c>
      <c r="S3" s="152"/>
      <c r="T3" s="151"/>
      <c r="U3" s="151"/>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3"/>
      <c r="BE3" s="153"/>
    </row>
    <row r="4" spans="1:57">
      <c r="A4" s="155" t="str">
        <f>B4&amp;"_"&amp;F4</f>
        <v>1588_7</v>
      </c>
      <c r="B4" s="156">
        <v>1588</v>
      </c>
      <c r="C4" s="155" t="s">
        <v>197</v>
      </c>
      <c r="D4" s="155" t="s">
        <v>464</v>
      </c>
      <c r="E4" s="157" t="s">
        <v>199</v>
      </c>
      <c r="F4" s="157" t="s">
        <v>199</v>
      </c>
      <c r="G4" s="155" t="s">
        <v>437</v>
      </c>
      <c r="H4" s="155" t="s">
        <v>438</v>
      </c>
      <c r="I4" s="156">
        <v>5646</v>
      </c>
      <c r="J4" s="156">
        <v>586</v>
      </c>
      <c r="K4" s="156">
        <v>9.634812286689419</v>
      </c>
      <c r="L4" s="155" t="s">
        <v>465</v>
      </c>
      <c r="M4" s="158"/>
      <c r="N4" s="158"/>
      <c r="O4" s="156">
        <v>1.0333333333333334E-3</v>
      </c>
      <c r="P4" s="156">
        <v>9.9559726962457334E-3</v>
      </c>
      <c r="Q4" s="156">
        <v>1.0333333333333334E-3</v>
      </c>
      <c r="R4" s="156">
        <v>9.9559726962457334E-3</v>
      </c>
      <c r="S4" s="159"/>
      <c r="T4" s="155" t="s">
        <v>439</v>
      </c>
      <c r="U4" s="155" t="s">
        <v>440</v>
      </c>
      <c r="V4" s="160">
        <v>28825</v>
      </c>
      <c r="W4" s="155" t="s">
        <v>219</v>
      </c>
      <c r="X4" s="155" t="s">
        <v>219</v>
      </c>
      <c r="Y4" s="161"/>
      <c r="Z4" s="155" t="s">
        <v>219</v>
      </c>
      <c r="AA4" s="155" t="s">
        <v>219</v>
      </c>
      <c r="AB4" s="161"/>
      <c r="AC4" s="155" t="s">
        <v>219</v>
      </c>
      <c r="AD4" s="155" t="s">
        <v>219</v>
      </c>
      <c r="AE4" s="161"/>
      <c r="AF4" s="155" t="s">
        <v>219</v>
      </c>
      <c r="AG4" s="155" t="s">
        <v>219</v>
      </c>
      <c r="AH4" s="161"/>
      <c r="AI4" s="155" t="s">
        <v>219</v>
      </c>
      <c r="AJ4" s="155" t="s">
        <v>219</v>
      </c>
      <c r="AK4" s="161"/>
      <c r="AL4" s="155" t="s">
        <v>219</v>
      </c>
      <c r="AM4" s="155" t="s">
        <v>219</v>
      </c>
      <c r="AN4" s="161"/>
      <c r="AO4" s="155" t="s">
        <v>219</v>
      </c>
      <c r="AP4" s="155" t="s">
        <v>219</v>
      </c>
      <c r="AQ4" s="161"/>
      <c r="AR4" s="155" t="s">
        <v>219</v>
      </c>
      <c r="AS4" s="155" t="s">
        <v>219</v>
      </c>
      <c r="AT4" s="161"/>
      <c r="AU4" s="155" t="s">
        <v>219</v>
      </c>
      <c r="AV4" s="155" t="s">
        <v>219</v>
      </c>
      <c r="AW4" s="161"/>
      <c r="AX4" s="155" t="s">
        <v>219</v>
      </c>
      <c r="AY4" s="155" t="s">
        <v>219</v>
      </c>
      <c r="AZ4" s="161"/>
      <c r="BA4" s="155" t="s">
        <v>219</v>
      </c>
      <c r="BB4" s="155" t="s">
        <v>219</v>
      </c>
      <c r="BC4" s="161"/>
    </row>
    <row r="5" spans="1:57">
      <c r="A5" s="155" t="str">
        <f t="shared" ref="A5:A33" si="3">B5&amp;"_"&amp;F5</f>
        <v>617_PPE3</v>
      </c>
      <c r="B5" s="156">
        <v>617</v>
      </c>
      <c r="C5" s="155" t="s">
        <v>212</v>
      </c>
      <c r="D5" s="155" t="s">
        <v>466</v>
      </c>
      <c r="E5" s="157" t="s">
        <v>215</v>
      </c>
      <c r="F5" s="157" t="s">
        <v>214</v>
      </c>
      <c r="G5" s="155" t="s">
        <v>437</v>
      </c>
      <c r="H5" s="155" t="s">
        <v>441</v>
      </c>
      <c r="I5" s="156">
        <v>4000</v>
      </c>
      <c r="J5" s="156">
        <v>395</v>
      </c>
      <c r="K5" s="156">
        <v>10.126582278481013</v>
      </c>
      <c r="L5" s="155" t="s">
        <v>465</v>
      </c>
      <c r="M5" s="162">
        <v>1.2213391330463987E-3</v>
      </c>
      <c r="N5" s="162">
        <v>1.2367991220723025E-2</v>
      </c>
      <c r="O5" s="156">
        <v>1.3333333333333333E-3</v>
      </c>
      <c r="P5" s="156">
        <v>1.350210970464135E-2</v>
      </c>
      <c r="Q5" s="156">
        <v>1.2213391330463987E-3</v>
      </c>
      <c r="R5" s="156">
        <v>1.2367991220723025E-2</v>
      </c>
      <c r="S5" s="159"/>
      <c r="T5" s="155" t="s">
        <v>439</v>
      </c>
      <c r="U5" s="155" t="s">
        <v>440</v>
      </c>
      <c r="V5" s="160">
        <v>39234</v>
      </c>
      <c r="W5" s="155" t="s">
        <v>219</v>
      </c>
      <c r="X5" s="155" t="s">
        <v>219</v>
      </c>
      <c r="Y5" s="161"/>
      <c r="Z5" s="155" t="s">
        <v>219</v>
      </c>
      <c r="AA5" s="155" t="s">
        <v>219</v>
      </c>
      <c r="AB5" s="161"/>
      <c r="AC5" s="155" t="s">
        <v>219</v>
      </c>
      <c r="AD5" s="155" t="s">
        <v>219</v>
      </c>
      <c r="AE5" s="161"/>
      <c r="AF5" s="155" t="s">
        <v>219</v>
      </c>
      <c r="AG5" s="155" t="s">
        <v>219</v>
      </c>
      <c r="AH5" s="161"/>
      <c r="AI5" s="155" t="s">
        <v>219</v>
      </c>
      <c r="AJ5" s="155" t="s">
        <v>219</v>
      </c>
      <c r="AK5" s="161"/>
      <c r="AL5" s="155" t="s">
        <v>219</v>
      </c>
      <c r="AM5" s="155" t="s">
        <v>219</v>
      </c>
      <c r="AN5" s="161"/>
      <c r="AO5" s="155" t="s">
        <v>219</v>
      </c>
      <c r="AP5" s="155" t="s">
        <v>219</v>
      </c>
      <c r="AQ5" s="161"/>
      <c r="AR5" s="155" t="s">
        <v>219</v>
      </c>
      <c r="AS5" s="155" t="s">
        <v>219</v>
      </c>
      <c r="AT5" s="161"/>
      <c r="AU5" s="155" t="s">
        <v>219</v>
      </c>
      <c r="AV5" s="155" t="s">
        <v>219</v>
      </c>
      <c r="AW5" s="161"/>
      <c r="AX5" s="155" t="s">
        <v>219</v>
      </c>
      <c r="AY5" s="155" t="s">
        <v>219</v>
      </c>
      <c r="AZ5" s="161"/>
      <c r="BA5" s="155" t="s">
        <v>219</v>
      </c>
      <c r="BB5" s="155" t="s">
        <v>219</v>
      </c>
      <c r="BC5" s="161"/>
    </row>
    <row r="6" spans="1:57">
      <c r="A6" s="155" t="str">
        <f t="shared" si="3"/>
        <v>617_PPE1</v>
      </c>
      <c r="B6" s="156">
        <v>617</v>
      </c>
      <c r="C6" s="155" t="s">
        <v>212</v>
      </c>
      <c r="D6" s="155" t="s">
        <v>466</v>
      </c>
      <c r="E6" s="157" t="s">
        <v>225</v>
      </c>
      <c r="F6" s="157" t="s">
        <v>224</v>
      </c>
      <c r="G6" s="155" t="s">
        <v>437</v>
      </c>
      <c r="H6" s="155" t="s">
        <v>441</v>
      </c>
      <c r="I6" s="156">
        <v>2300</v>
      </c>
      <c r="J6" s="156">
        <v>226</v>
      </c>
      <c r="K6" s="156">
        <v>10.176991150442477</v>
      </c>
      <c r="L6" s="155" t="s">
        <v>465</v>
      </c>
      <c r="M6" s="158"/>
      <c r="N6" s="158"/>
      <c r="O6" s="156">
        <v>1.5000000000000002E-3</v>
      </c>
      <c r="P6" s="156">
        <v>1.5265486725663718E-2</v>
      </c>
      <c r="Q6" s="156">
        <v>1.5000000000000002E-3</v>
      </c>
      <c r="R6" s="156">
        <v>1.5265486725663718E-2</v>
      </c>
      <c r="S6" s="159"/>
      <c r="T6" s="155" t="s">
        <v>439</v>
      </c>
      <c r="U6" s="155" t="s">
        <v>440</v>
      </c>
      <c r="V6" s="160">
        <v>38749</v>
      </c>
      <c r="W6" s="155" t="s">
        <v>219</v>
      </c>
      <c r="X6" s="155" t="s">
        <v>219</v>
      </c>
      <c r="Y6" s="161"/>
      <c r="Z6" s="155" t="s">
        <v>219</v>
      </c>
      <c r="AA6" s="155" t="s">
        <v>219</v>
      </c>
      <c r="AB6" s="161"/>
      <c r="AC6" s="155" t="s">
        <v>219</v>
      </c>
      <c r="AD6" s="155" t="s">
        <v>219</v>
      </c>
      <c r="AE6" s="161"/>
      <c r="AF6" s="155" t="s">
        <v>219</v>
      </c>
      <c r="AG6" s="155" t="s">
        <v>219</v>
      </c>
      <c r="AH6" s="161"/>
      <c r="AI6" s="155" t="s">
        <v>219</v>
      </c>
      <c r="AJ6" s="155" t="s">
        <v>219</v>
      </c>
      <c r="AK6" s="161"/>
      <c r="AL6" s="155" t="s">
        <v>219</v>
      </c>
      <c r="AM6" s="155" t="s">
        <v>219</v>
      </c>
      <c r="AN6" s="161"/>
      <c r="AO6" s="155" t="s">
        <v>219</v>
      </c>
      <c r="AP6" s="155" t="s">
        <v>219</v>
      </c>
      <c r="AQ6" s="161"/>
      <c r="AR6" s="155" t="s">
        <v>219</v>
      </c>
      <c r="AS6" s="155" t="s">
        <v>219</v>
      </c>
      <c r="AT6" s="161"/>
      <c r="AU6" s="155" t="s">
        <v>219</v>
      </c>
      <c r="AV6" s="155" t="s">
        <v>219</v>
      </c>
      <c r="AW6" s="161"/>
      <c r="AX6" s="155" t="s">
        <v>219</v>
      </c>
      <c r="AY6" s="155" t="s">
        <v>219</v>
      </c>
      <c r="AZ6" s="161"/>
      <c r="BA6" s="155" t="s">
        <v>219</v>
      </c>
      <c r="BB6" s="155" t="s">
        <v>219</v>
      </c>
      <c r="BC6" s="161"/>
    </row>
    <row r="7" spans="1:57">
      <c r="A7" s="155" t="str">
        <f t="shared" si="3"/>
        <v>548_2</v>
      </c>
      <c r="B7" s="156">
        <v>548</v>
      </c>
      <c r="C7" s="155" t="s">
        <v>231</v>
      </c>
      <c r="D7" s="155" t="s">
        <v>467</v>
      </c>
      <c r="E7" s="157" t="s">
        <v>232</v>
      </c>
      <c r="F7" s="157" t="s">
        <v>232</v>
      </c>
      <c r="G7" s="155" t="s">
        <v>437</v>
      </c>
      <c r="H7" s="155" t="s">
        <v>438</v>
      </c>
      <c r="I7" s="156">
        <v>1776</v>
      </c>
      <c r="J7" s="156">
        <v>178</v>
      </c>
      <c r="K7" s="156">
        <v>9.97752808988764</v>
      </c>
      <c r="L7" s="155" t="s">
        <v>465</v>
      </c>
      <c r="M7" s="162">
        <v>1.5707678472790065E-3</v>
      </c>
      <c r="N7" s="162">
        <v>1.5672380318918627E-2</v>
      </c>
      <c r="O7" s="158"/>
      <c r="P7" s="158"/>
      <c r="Q7" s="156">
        <v>1.5707678472790065E-3</v>
      </c>
      <c r="R7" s="156">
        <v>1.5672380318918627E-2</v>
      </c>
      <c r="S7" s="159"/>
      <c r="T7" s="155" t="s">
        <v>442</v>
      </c>
      <c r="U7" s="155" t="s">
        <v>443</v>
      </c>
      <c r="V7" s="160">
        <v>34973</v>
      </c>
      <c r="W7" s="155" t="s">
        <v>439</v>
      </c>
      <c r="X7" s="155" t="s">
        <v>440</v>
      </c>
      <c r="Y7" s="160">
        <v>22798</v>
      </c>
      <c r="Z7" s="155" t="s">
        <v>219</v>
      </c>
      <c r="AA7" s="155" t="s">
        <v>219</v>
      </c>
      <c r="AB7" s="161"/>
      <c r="AC7" s="155" t="s">
        <v>219</v>
      </c>
      <c r="AD7" s="155" t="s">
        <v>219</v>
      </c>
      <c r="AE7" s="161"/>
      <c r="AF7" s="155" t="s">
        <v>219</v>
      </c>
      <c r="AG7" s="155" t="s">
        <v>219</v>
      </c>
      <c r="AH7" s="161"/>
      <c r="AI7" s="155" t="s">
        <v>219</v>
      </c>
      <c r="AJ7" s="155" t="s">
        <v>219</v>
      </c>
      <c r="AK7" s="161"/>
      <c r="AL7" s="155" t="s">
        <v>219</v>
      </c>
      <c r="AM7" s="155" t="s">
        <v>219</v>
      </c>
      <c r="AN7" s="161"/>
      <c r="AO7" s="155" t="s">
        <v>219</v>
      </c>
      <c r="AP7" s="155" t="s">
        <v>219</v>
      </c>
      <c r="AQ7" s="161"/>
      <c r="AR7" s="155" t="s">
        <v>219</v>
      </c>
      <c r="AS7" s="155" t="s">
        <v>219</v>
      </c>
      <c r="AT7" s="161"/>
      <c r="AU7" s="155" t="s">
        <v>219</v>
      </c>
      <c r="AV7" s="155" t="s">
        <v>219</v>
      </c>
      <c r="AW7" s="161"/>
      <c r="AX7" s="155" t="s">
        <v>219</v>
      </c>
      <c r="AY7" s="155" t="s">
        <v>219</v>
      </c>
      <c r="AZ7" s="161"/>
      <c r="BA7" s="155" t="s">
        <v>219</v>
      </c>
      <c r="BB7" s="155" t="s">
        <v>219</v>
      </c>
      <c r="BC7" s="161"/>
    </row>
    <row r="8" spans="1:57">
      <c r="A8" s="155" t="str">
        <f t="shared" si="3"/>
        <v>562_2</v>
      </c>
      <c r="B8" s="156">
        <v>562</v>
      </c>
      <c r="C8" s="155" t="s">
        <v>234</v>
      </c>
      <c r="D8" s="155" t="s">
        <v>467</v>
      </c>
      <c r="E8" s="157" t="s">
        <v>232</v>
      </c>
      <c r="F8" s="157" t="s">
        <v>232</v>
      </c>
      <c r="G8" s="155" t="s">
        <v>437</v>
      </c>
      <c r="H8" s="155" t="s">
        <v>441</v>
      </c>
      <c r="I8" s="156">
        <v>1173.27</v>
      </c>
      <c r="J8" s="156">
        <v>125</v>
      </c>
      <c r="K8" s="156">
        <v>9.3861600000000003</v>
      </c>
      <c r="L8" s="155" t="s">
        <v>465</v>
      </c>
      <c r="M8" s="156">
        <v>3.1642832499139402E-3</v>
      </c>
      <c r="N8" s="156">
        <v>2.9700468869012231E-2</v>
      </c>
      <c r="O8" s="158"/>
      <c r="P8" s="158"/>
      <c r="Q8" s="156">
        <v>3.1642832499139402E-3</v>
      </c>
      <c r="R8" s="156">
        <v>2.9700468869012231E-2</v>
      </c>
      <c r="S8" s="159"/>
      <c r="T8" s="155" t="s">
        <v>442</v>
      </c>
      <c r="U8" s="155" t="s">
        <v>443</v>
      </c>
      <c r="V8" s="160">
        <v>39722</v>
      </c>
      <c r="W8" s="155" t="s">
        <v>439</v>
      </c>
      <c r="X8" s="155" t="s">
        <v>444</v>
      </c>
      <c r="Y8" s="160">
        <v>19937</v>
      </c>
      <c r="Z8" s="155" t="s">
        <v>219</v>
      </c>
      <c r="AA8" s="155" t="s">
        <v>219</v>
      </c>
      <c r="AB8" s="161"/>
      <c r="AC8" s="155" t="s">
        <v>219</v>
      </c>
      <c r="AD8" s="155" t="s">
        <v>219</v>
      </c>
      <c r="AE8" s="161"/>
      <c r="AF8" s="155" t="s">
        <v>219</v>
      </c>
      <c r="AG8" s="155" t="s">
        <v>219</v>
      </c>
      <c r="AH8" s="161"/>
      <c r="AI8" s="155" t="s">
        <v>219</v>
      </c>
      <c r="AJ8" s="155" t="s">
        <v>219</v>
      </c>
      <c r="AK8" s="161"/>
      <c r="AL8" s="155" t="s">
        <v>219</v>
      </c>
      <c r="AM8" s="155" t="s">
        <v>219</v>
      </c>
      <c r="AN8" s="161"/>
      <c r="AO8" s="155" t="s">
        <v>219</v>
      </c>
      <c r="AP8" s="155" t="s">
        <v>219</v>
      </c>
      <c r="AQ8" s="161"/>
      <c r="AR8" s="155" t="s">
        <v>219</v>
      </c>
      <c r="AS8" s="155" t="s">
        <v>219</v>
      </c>
      <c r="AT8" s="161"/>
      <c r="AU8" s="155" t="s">
        <v>219</v>
      </c>
      <c r="AV8" s="155" t="s">
        <v>219</v>
      </c>
      <c r="AW8" s="161"/>
      <c r="AX8" s="155" t="s">
        <v>219</v>
      </c>
      <c r="AY8" s="155" t="s">
        <v>219</v>
      </c>
      <c r="AZ8" s="161"/>
      <c r="BA8" s="155" t="s">
        <v>219</v>
      </c>
      <c r="BB8" s="155" t="s">
        <v>219</v>
      </c>
      <c r="BC8" s="161"/>
    </row>
    <row r="9" spans="1:57">
      <c r="A9" s="155" t="str">
        <f t="shared" si="3"/>
        <v>2493_60</v>
      </c>
      <c r="B9" s="156">
        <v>2493</v>
      </c>
      <c r="C9" s="155" t="s">
        <v>249</v>
      </c>
      <c r="D9" s="155" t="s">
        <v>468</v>
      </c>
      <c r="E9" s="157" t="s">
        <v>250</v>
      </c>
      <c r="F9" s="157" t="s">
        <v>250</v>
      </c>
      <c r="G9" s="155" t="s">
        <v>437</v>
      </c>
      <c r="H9" s="155" t="s">
        <v>445</v>
      </c>
      <c r="I9" s="156">
        <v>1930</v>
      </c>
      <c r="J9" s="156">
        <v>129.4</v>
      </c>
      <c r="K9" s="156">
        <v>14.91499227202473</v>
      </c>
      <c r="L9" s="155" t="s">
        <v>469</v>
      </c>
      <c r="M9" s="156">
        <v>6.1540980268117206E-3</v>
      </c>
      <c r="N9" s="156">
        <v>9.178832451117945E-2</v>
      </c>
      <c r="O9" s="156">
        <v>2.7E-2</v>
      </c>
      <c r="P9" s="156">
        <v>0.40270479134466769</v>
      </c>
      <c r="Q9" s="156">
        <v>6.1540980268117206E-3</v>
      </c>
      <c r="R9" s="156">
        <v>9.178832451117945E-2</v>
      </c>
      <c r="S9" s="159"/>
      <c r="T9" s="155" t="s">
        <v>219</v>
      </c>
      <c r="U9" s="155" t="s">
        <v>219</v>
      </c>
      <c r="V9" s="161"/>
      <c r="W9" s="155" t="s">
        <v>219</v>
      </c>
      <c r="X9" s="155" t="s">
        <v>219</v>
      </c>
      <c r="Y9" s="161"/>
      <c r="Z9" s="155" t="s">
        <v>219</v>
      </c>
      <c r="AA9" s="155" t="s">
        <v>219</v>
      </c>
      <c r="AB9" s="161"/>
      <c r="AC9" s="155" t="s">
        <v>219</v>
      </c>
      <c r="AD9" s="155" t="s">
        <v>219</v>
      </c>
      <c r="AE9" s="161"/>
      <c r="AF9" s="155" t="s">
        <v>219</v>
      </c>
      <c r="AG9" s="155" t="s">
        <v>219</v>
      </c>
      <c r="AH9" s="161"/>
      <c r="AI9" s="155" t="s">
        <v>219</v>
      </c>
      <c r="AJ9" s="155" t="s">
        <v>219</v>
      </c>
      <c r="AK9" s="161"/>
      <c r="AL9" s="155" t="s">
        <v>219</v>
      </c>
      <c r="AM9" s="155" t="s">
        <v>219</v>
      </c>
      <c r="AN9" s="161"/>
      <c r="AO9" s="155" t="s">
        <v>219</v>
      </c>
      <c r="AP9" s="155" t="s">
        <v>219</v>
      </c>
      <c r="AQ9" s="161"/>
      <c r="AR9" s="155" t="s">
        <v>219</v>
      </c>
      <c r="AS9" s="155" t="s">
        <v>219</v>
      </c>
      <c r="AT9" s="161"/>
      <c r="AU9" s="155" t="s">
        <v>219</v>
      </c>
      <c r="AV9" s="155" t="s">
        <v>219</v>
      </c>
      <c r="AW9" s="161"/>
      <c r="AX9" s="155" t="s">
        <v>219</v>
      </c>
      <c r="AY9" s="155" t="s">
        <v>219</v>
      </c>
      <c r="AZ9" s="161"/>
      <c r="BA9" s="155" t="s">
        <v>219</v>
      </c>
      <c r="BB9" s="155" t="s">
        <v>219</v>
      </c>
      <c r="BC9" s="161"/>
    </row>
    <row r="10" spans="1:57">
      <c r="A10" s="155" t="str">
        <f t="shared" si="3"/>
        <v>617_PPE2</v>
      </c>
      <c r="B10" s="156">
        <v>617</v>
      </c>
      <c r="C10" s="155" t="s">
        <v>212</v>
      </c>
      <c r="D10" s="155" t="s">
        <v>466</v>
      </c>
      <c r="E10" s="157" t="s">
        <v>243</v>
      </c>
      <c r="F10" s="157" t="s">
        <v>242</v>
      </c>
      <c r="G10" s="155" t="s">
        <v>437</v>
      </c>
      <c r="H10" s="155" t="s">
        <v>441</v>
      </c>
      <c r="I10" s="156">
        <v>2300</v>
      </c>
      <c r="J10" s="156">
        <v>226</v>
      </c>
      <c r="K10" s="156">
        <v>10.176991150442477</v>
      </c>
      <c r="L10" s="155" t="s">
        <v>465</v>
      </c>
      <c r="M10" s="158"/>
      <c r="N10" s="158"/>
      <c r="O10" s="156">
        <v>7.1666666666666658E-3</v>
      </c>
      <c r="P10" s="156">
        <v>7.2935103244837748E-2</v>
      </c>
      <c r="Q10" s="156">
        <v>7.1666666666666658E-3</v>
      </c>
      <c r="R10" s="156">
        <v>7.2935103244837748E-2</v>
      </c>
      <c r="S10" s="159"/>
      <c r="T10" s="155" t="s">
        <v>439</v>
      </c>
      <c r="U10" s="155" t="s">
        <v>440</v>
      </c>
      <c r="V10" s="160">
        <v>38504</v>
      </c>
      <c r="W10" s="155" t="s">
        <v>219</v>
      </c>
      <c r="X10" s="155" t="s">
        <v>219</v>
      </c>
      <c r="Y10" s="161"/>
      <c r="Z10" s="155" t="s">
        <v>219</v>
      </c>
      <c r="AA10" s="155" t="s">
        <v>219</v>
      </c>
      <c r="AB10" s="161"/>
      <c r="AC10" s="155" t="s">
        <v>219</v>
      </c>
      <c r="AD10" s="155" t="s">
        <v>219</v>
      </c>
      <c r="AE10" s="161"/>
      <c r="AF10" s="155" t="s">
        <v>219</v>
      </c>
      <c r="AG10" s="155" t="s">
        <v>219</v>
      </c>
      <c r="AH10" s="161"/>
      <c r="AI10" s="155" t="s">
        <v>219</v>
      </c>
      <c r="AJ10" s="155" t="s">
        <v>219</v>
      </c>
      <c r="AK10" s="161"/>
      <c r="AL10" s="155" t="s">
        <v>219</v>
      </c>
      <c r="AM10" s="155" t="s">
        <v>219</v>
      </c>
      <c r="AN10" s="161"/>
      <c r="AO10" s="155" t="s">
        <v>219</v>
      </c>
      <c r="AP10" s="155" t="s">
        <v>219</v>
      </c>
      <c r="AQ10" s="161"/>
      <c r="AR10" s="155" t="s">
        <v>219</v>
      </c>
      <c r="AS10" s="155" t="s">
        <v>219</v>
      </c>
      <c r="AT10" s="161"/>
      <c r="AU10" s="155" t="s">
        <v>219</v>
      </c>
      <c r="AV10" s="155" t="s">
        <v>219</v>
      </c>
      <c r="AW10" s="161"/>
      <c r="AX10" s="155" t="s">
        <v>219</v>
      </c>
      <c r="AY10" s="155" t="s">
        <v>219</v>
      </c>
      <c r="AZ10" s="161"/>
      <c r="BA10" s="155" t="s">
        <v>219</v>
      </c>
      <c r="BB10" s="155" t="s">
        <v>219</v>
      </c>
      <c r="BC10" s="161"/>
    </row>
    <row r="11" spans="1:57">
      <c r="A11" s="155" t="str">
        <f t="shared" si="3"/>
        <v>617_PPE4</v>
      </c>
      <c r="B11" s="156">
        <v>617</v>
      </c>
      <c r="C11" s="155" t="s">
        <v>212</v>
      </c>
      <c r="D11" s="155" t="s">
        <v>466</v>
      </c>
      <c r="E11" s="157" t="s">
        <v>237</v>
      </c>
      <c r="F11" s="157" t="s">
        <v>236</v>
      </c>
      <c r="G11" s="155" t="s">
        <v>437</v>
      </c>
      <c r="H11" s="155" t="s">
        <v>441</v>
      </c>
      <c r="I11" s="156">
        <v>4000</v>
      </c>
      <c r="J11" s="156">
        <v>395</v>
      </c>
      <c r="K11" s="156">
        <v>10.126582278481013</v>
      </c>
      <c r="L11" s="155" t="s">
        <v>465</v>
      </c>
      <c r="M11" s="156">
        <v>7.5255086742303566E-3</v>
      </c>
      <c r="N11" s="156">
        <v>7.620768277701627E-2</v>
      </c>
      <c r="O11" s="162"/>
      <c r="P11" s="162"/>
      <c r="Q11" s="156">
        <v>7.5255086742303566E-3</v>
      </c>
      <c r="R11" s="156">
        <v>7.620768277701627E-2</v>
      </c>
      <c r="S11" s="159"/>
      <c r="T11" s="155" t="s">
        <v>439</v>
      </c>
      <c r="U11" s="155" t="s">
        <v>440</v>
      </c>
      <c r="V11" s="160">
        <v>39203</v>
      </c>
      <c r="W11" s="155" t="s">
        <v>219</v>
      </c>
      <c r="X11" s="155" t="s">
        <v>219</v>
      </c>
      <c r="Y11" s="161"/>
      <c r="Z11" s="155" t="s">
        <v>219</v>
      </c>
      <c r="AA11" s="155" t="s">
        <v>219</v>
      </c>
      <c r="AB11" s="161"/>
      <c r="AC11" s="155" t="s">
        <v>219</v>
      </c>
      <c r="AD11" s="155" t="s">
        <v>219</v>
      </c>
      <c r="AE11" s="161"/>
      <c r="AF11" s="155" t="s">
        <v>219</v>
      </c>
      <c r="AG11" s="155" t="s">
        <v>219</v>
      </c>
      <c r="AH11" s="161"/>
      <c r="AI11" s="155" t="s">
        <v>219</v>
      </c>
      <c r="AJ11" s="155" t="s">
        <v>219</v>
      </c>
      <c r="AK11" s="161"/>
      <c r="AL11" s="155" t="s">
        <v>219</v>
      </c>
      <c r="AM11" s="155" t="s">
        <v>219</v>
      </c>
      <c r="AN11" s="161"/>
      <c r="AO11" s="155" t="s">
        <v>219</v>
      </c>
      <c r="AP11" s="155" t="s">
        <v>219</v>
      </c>
      <c r="AQ11" s="161"/>
      <c r="AR11" s="155" t="s">
        <v>219</v>
      </c>
      <c r="AS11" s="155" t="s">
        <v>219</v>
      </c>
      <c r="AT11" s="161"/>
      <c r="AU11" s="155" t="s">
        <v>219</v>
      </c>
      <c r="AV11" s="155" t="s">
        <v>219</v>
      </c>
      <c r="AW11" s="161"/>
      <c r="AX11" s="155" t="s">
        <v>219</v>
      </c>
      <c r="AY11" s="155" t="s">
        <v>219</v>
      </c>
      <c r="AZ11" s="161"/>
      <c r="BA11" s="155" t="s">
        <v>219</v>
      </c>
      <c r="BB11" s="155" t="s">
        <v>219</v>
      </c>
      <c r="BC11" s="161"/>
    </row>
    <row r="12" spans="1:57">
      <c r="A12" s="155" t="str">
        <f t="shared" si="3"/>
        <v>2491_01</v>
      </c>
      <c r="B12" s="156">
        <v>2491</v>
      </c>
      <c r="C12" s="155" t="s">
        <v>470</v>
      </c>
      <c r="D12" s="155" t="s">
        <v>468</v>
      </c>
      <c r="E12" s="157" t="s">
        <v>471</v>
      </c>
      <c r="F12" s="157" t="s">
        <v>471</v>
      </c>
      <c r="G12" s="155" t="s">
        <v>437</v>
      </c>
      <c r="H12" s="155" t="s">
        <v>438</v>
      </c>
      <c r="I12" s="156">
        <v>8266</v>
      </c>
      <c r="J12" s="156">
        <v>905</v>
      </c>
      <c r="K12" s="156">
        <v>9.1337016574585643</v>
      </c>
      <c r="L12" s="155" t="s">
        <v>465</v>
      </c>
      <c r="M12" s="161"/>
      <c r="N12" s="161"/>
      <c r="O12" s="156">
        <v>1.7000000000000001E-2</v>
      </c>
      <c r="P12" s="156">
        <v>0.15527292817679561</v>
      </c>
      <c r="Q12" s="156">
        <v>1.7000000000000001E-2</v>
      </c>
      <c r="R12" s="156">
        <v>0.15527292817679561</v>
      </c>
      <c r="S12" s="159"/>
      <c r="T12" s="155" t="s">
        <v>219</v>
      </c>
      <c r="U12" s="155" t="s">
        <v>219</v>
      </c>
      <c r="V12" s="161"/>
      <c r="W12" s="155" t="s">
        <v>219</v>
      </c>
      <c r="X12" s="155" t="s">
        <v>219</v>
      </c>
      <c r="Y12" s="161"/>
      <c r="Z12" s="155" t="s">
        <v>219</v>
      </c>
      <c r="AA12" s="155" t="s">
        <v>219</v>
      </c>
      <c r="AB12" s="161"/>
      <c r="AC12" s="155" t="s">
        <v>219</v>
      </c>
      <c r="AD12" s="155" t="s">
        <v>219</v>
      </c>
      <c r="AE12" s="161"/>
      <c r="AF12" s="155" t="s">
        <v>219</v>
      </c>
      <c r="AG12" s="155" t="s">
        <v>219</v>
      </c>
      <c r="AH12" s="161"/>
      <c r="AI12" s="155" t="s">
        <v>219</v>
      </c>
      <c r="AJ12" s="155" t="s">
        <v>219</v>
      </c>
      <c r="AK12" s="161"/>
      <c r="AL12" s="155" t="s">
        <v>219</v>
      </c>
      <c r="AM12" s="155" t="s">
        <v>219</v>
      </c>
      <c r="AN12" s="161"/>
      <c r="AO12" s="155" t="s">
        <v>219</v>
      </c>
      <c r="AP12" s="155" t="s">
        <v>219</v>
      </c>
      <c r="AQ12" s="161"/>
      <c r="AR12" s="155" t="s">
        <v>219</v>
      </c>
      <c r="AS12" s="155" t="s">
        <v>219</v>
      </c>
      <c r="AT12" s="161"/>
      <c r="AU12" s="155" t="s">
        <v>219</v>
      </c>
      <c r="AV12" s="155" t="s">
        <v>219</v>
      </c>
      <c r="AW12" s="161"/>
      <c r="AX12" s="155" t="s">
        <v>219</v>
      </c>
      <c r="AY12" s="155" t="s">
        <v>219</v>
      </c>
      <c r="AZ12" s="161"/>
      <c r="BA12" s="155" t="s">
        <v>219</v>
      </c>
      <c r="BB12" s="155" t="s">
        <v>219</v>
      </c>
      <c r="BC12" s="161"/>
    </row>
    <row r="13" spans="1:57">
      <c r="A13" s="155" t="str">
        <f t="shared" si="3"/>
        <v>621_PTF1</v>
      </c>
      <c r="B13" s="156">
        <v>621</v>
      </c>
      <c r="C13" s="155" t="s">
        <v>258</v>
      </c>
      <c r="D13" s="155" t="s">
        <v>466</v>
      </c>
      <c r="E13" s="157" t="s">
        <v>260</v>
      </c>
      <c r="F13" s="157" t="s">
        <v>259</v>
      </c>
      <c r="G13" s="155" t="s">
        <v>437</v>
      </c>
      <c r="H13" s="155" t="s">
        <v>441</v>
      </c>
      <c r="I13" s="156">
        <v>4000</v>
      </c>
      <c r="J13" s="156">
        <v>421</v>
      </c>
      <c r="K13" s="156">
        <v>9.5011876484560567</v>
      </c>
      <c r="L13" s="155" t="s">
        <v>465</v>
      </c>
      <c r="M13" s="162">
        <v>2.6118173312307588E-2</v>
      </c>
      <c r="N13" s="162">
        <v>0.24815366567513147</v>
      </c>
      <c r="O13" s="156">
        <v>1.7833333333333336E-2</v>
      </c>
      <c r="P13" s="156">
        <v>0.16943784639746637</v>
      </c>
      <c r="Q13" s="156">
        <v>1.7833333333333336E-2</v>
      </c>
      <c r="R13" s="156">
        <v>0.16943784639746637</v>
      </c>
      <c r="S13" s="159"/>
      <c r="T13" s="155" t="s">
        <v>439</v>
      </c>
      <c r="U13" s="155" t="s">
        <v>446</v>
      </c>
      <c r="V13" s="160">
        <v>24563</v>
      </c>
      <c r="W13" s="155" t="s">
        <v>219</v>
      </c>
      <c r="X13" s="155" t="s">
        <v>219</v>
      </c>
      <c r="Y13" s="161"/>
      <c r="Z13" s="155" t="s">
        <v>219</v>
      </c>
      <c r="AA13" s="155" t="s">
        <v>219</v>
      </c>
      <c r="AB13" s="161"/>
      <c r="AC13" s="155" t="s">
        <v>219</v>
      </c>
      <c r="AD13" s="155" t="s">
        <v>219</v>
      </c>
      <c r="AE13" s="161"/>
      <c r="AF13" s="155" t="s">
        <v>219</v>
      </c>
      <c r="AG13" s="155" t="s">
        <v>219</v>
      </c>
      <c r="AH13" s="161"/>
      <c r="AI13" s="155" t="s">
        <v>219</v>
      </c>
      <c r="AJ13" s="155" t="s">
        <v>219</v>
      </c>
      <c r="AK13" s="161"/>
      <c r="AL13" s="155" t="s">
        <v>219</v>
      </c>
      <c r="AM13" s="155" t="s">
        <v>219</v>
      </c>
      <c r="AN13" s="161"/>
      <c r="AO13" s="155" t="s">
        <v>219</v>
      </c>
      <c r="AP13" s="155" t="s">
        <v>219</v>
      </c>
      <c r="AQ13" s="161"/>
      <c r="AR13" s="155" t="s">
        <v>219</v>
      </c>
      <c r="AS13" s="155" t="s">
        <v>219</v>
      </c>
      <c r="AT13" s="161"/>
      <c r="AU13" s="155" t="s">
        <v>219</v>
      </c>
      <c r="AV13" s="155" t="s">
        <v>219</v>
      </c>
      <c r="AW13" s="161"/>
      <c r="AX13" s="155" t="s">
        <v>219</v>
      </c>
      <c r="AY13" s="155" t="s">
        <v>219</v>
      </c>
      <c r="AZ13" s="161"/>
      <c r="BA13" s="155" t="s">
        <v>219</v>
      </c>
      <c r="BB13" s="155" t="s">
        <v>219</v>
      </c>
      <c r="BC13" s="161"/>
    </row>
    <row r="14" spans="1:57">
      <c r="A14" s="155" t="str">
        <f t="shared" si="3"/>
        <v>6043_PMR2</v>
      </c>
      <c r="B14" s="156">
        <v>6043</v>
      </c>
      <c r="C14" s="155" t="s">
        <v>279</v>
      </c>
      <c r="D14" s="155" t="s">
        <v>466</v>
      </c>
      <c r="E14" s="157" t="s">
        <v>281</v>
      </c>
      <c r="F14" s="157" t="s">
        <v>280</v>
      </c>
      <c r="G14" s="155" t="s">
        <v>437</v>
      </c>
      <c r="H14" s="155" t="s">
        <v>441</v>
      </c>
      <c r="I14" s="156">
        <v>9040</v>
      </c>
      <c r="J14" s="156">
        <v>859</v>
      </c>
      <c r="K14" s="156">
        <v>10.523864959254947</v>
      </c>
      <c r="L14" s="155" t="s">
        <v>465</v>
      </c>
      <c r="M14" s="156">
        <v>1.8878522676961166E-2</v>
      </c>
      <c r="N14" s="156">
        <v>0.19867502328257153</v>
      </c>
      <c r="O14" s="162">
        <v>1.7999999999999999E-2</v>
      </c>
      <c r="P14" s="162">
        <v>0.18942956926658902</v>
      </c>
      <c r="Q14" s="156">
        <v>1.7999999999999999E-2</v>
      </c>
      <c r="R14" s="156">
        <v>0.18942956926658902</v>
      </c>
      <c r="S14" s="159"/>
      <c r="T14" s="155" t="s">
        <v>439</v>
      </c>
      <c r="U14" s="155" t="s">
        <v>446</v>
      </c>
      <c r="V14" s="160">
        <v>29738</v>
      </c>
      <c r="W14" s="155" t="s">
        <v>219</v>
      </c>
      <c r="X14" s="155" t="s">
        <v>219</v>
      </c>
      <c r="Y14" s="161"/>
      <c r="Z14" s="155" t="s">
        <v>219</v>
      </c>
      <c r="AA14" s="155" t="s">
        <v>219</v>
      </c>
      <c r="AB14" s="161"/>
      <c r="AC14" s="155" t="s">
        <v>219</v>
      </c>
      <c r="AD14" s="155" t="s">
        <v>219</v>
      </c>
      <c r="AE14" s="161"/>
      <c r="AF14" s="155" t="s">
        <v>219</v>
      </c>
      <c r="AG14" s="155" t="s">
        <v>219</v>
      </c>
      <c r="AH14" s="161"/>
      <c r="AI14" s="155" t="s">
        <v>219</v>
      </c>
      <c r="AJ14" s="155" t="s">
        <v>219</v>
      </c>
      <c r="AK14" s="161"/>
      <c r="AL14" s="155" t="s">
        <v>219</v>
      </c>
      <c r="AM14" s="155" t="s">
        <v>219</v>
      </c>
      <c r="AN14" s="161"/>
      <c r="AO14" s="155" t="s">
        <v>219</v>
      </c>
      <c r="AP14" s="155" t="s">
        <v>219</v>
      </c>
      <c r="AQ14" s="161"/>
      <c r="AR14" s="155" t="s">
        <v>219</v>
      </c>
      <c r="AS14" s="155" t="s">
        <v>219</v>
      </c>
      <c r="AT14" s="161"/>
      <c r="AU14" s="155" t="s">
        <v>219</v>
      </c>
      <c r="AV14" s="155" t="s">
        <v>219</v>
      </c>
      <c r="AW14" s="161"/>
      <c r="AX14" s="155" t="s">
        <v>219</v>
      </c>
      <c r="AY14" s="155" t="s">
        <v>219</v>
      </c>
      <c r="AZ14" s="161"/>
      <c r="BA14" s="155" t="s">
        <v>219</v>
      </c>
      <c r="BB14" s="155" t="s">
        <v>219</v>
      </c>
      <c r="BC14" s="161"/>
    </row>
    <row r="15" spans="1:57">
      <c r="A15" s="155" t="str">
        <f t="shared" si="3"/>
        <v>2516_3</v>
      </c>
      <c r="B15" s="156">
        <v>2516</v>
      </c>
      <c r="C15" s="155" t="s">
        <v>267</v>
      </c>
      <c r="D15" s="155" t="s">
        <v>468</v>
      </c>
      <c r="E15" s="157" t="s">
        <v>269</v>
      </c>
      <c r="F15" s="157" t="s">
        <v>268</v>
      </c>
      <c r="G15" s="155" t="s">
        <v>437</v>
      </c>
      <c r="H15" s="155" t="s">
        <v>438</v>
      </c>
      <c r="I15" s="156">
        <v>3650</v>
      </c>
      <c r="J15" s="156">
        <v>375</v>
      </c>
      <c r="K15" s="156">
        <v>9.7333333333333325</v>
      </c>
      <c r="L15" s="155" t="s">
        <v>469</v>
      </c>
      <c r="M15" s="156">
        <v>1.8416267145662645E-2</v>
      </c>
      <c r="N15" s="156">
        <v>0.17925166688444974</v>
      </c>
      <c r="O15" s="161"/>
      <c r="P15" s="161"/>
      <c r="Q15" s="156">
        <v>1.8416267145662645E-2</v>
      </c>
      <c r="R15" s="156">
        <v>0.17925166688444974</v>
      </c>
      <c r="S15" s="159"/>
      <c r="T15" s="155" t="s">
        <v>439</v>
      </c>
      <c r="U15" s="155" t="s">
        <v>440</v>
      </c>
      <c r="V15" s="163">
        <v>26451</v>
      </c>
      <c r="W15" s="155" t="s">
        <v>219</v>
      </c>
      <c r="X15" s="155" t="s">
        <v>219</v>
      </c>
      <c r="Y15" s="161"/>
      <c r="Z15" s="155" t="s">
        <v>219</v>
      </c>
      <c r="AA15" s="155" t="s">
        <v>219</v>
      </c>
      <c r="AB15" s="161"/>
      <c r="AC15" s="155" t="s">
        <v>219</v>
      </c>
      <c r="AD15" s="155" t="s">
        <v>219</v>
      </c>
      <c r="AE15" s="161"/>
      <c r="AF15" s="155" t="s">
        <v>219</v>
      </c>
      <c r="AG15" s="155" t="s">
        <v>219</v>
      </c>
      <c r="AH15" s="161"/>
      <c r="AI15" s="155" t="s">
        <v>219</v>
      </c>
      <c r="AJ15" s="155" t="s">
        <v>219</v>
      </c>
      <c r="AK15" s="161"/>
      <c r="AL15" s="155" t="s">
        <v>219</v>
      </c>
      <c r="AM15" s="155" t="s">
        <v>219</v>
      </c>
      <c r="AN15" s="161"/>
      <c r="AO15" s="155" t="s">
        <v>219</v>
      </c>
      <c r="AP15" s="155" t="s">
        <v>219</v>
      </c>
      <c r="AQ15" s="161"/>
      <c r="AR15" s="155" t="s">
        <v>219</v>
      </c>
      <c r="AS15" s="155" t="s">
        <v>219</v>
      </c>
      <c r="AT15" s="161"/>
      <c r="AU15" s="155" t="s">
        <v>219</v>
      </c>
      <c r="AV15" s="155" t="s">
        <v>219</v>
      </c>
      <c r="AW15" s="161"/>
      <c r="AX15" s="155" t="s">
        <v>219</v>
      </c>
      <c r="AY15" s="155" t="s">
        <v>219</v>
      </c>
      <c r="AZ15" s="161"/>
      <c r="BA15" s="155" t="s">
        <v>219</v>
      </c>
      <c r="BB15" s="155" t="s">
        <v>219</v>
      </c>
      <c r="BC15" s="161"/>
    </row>
    <row r="16" spans="1:57">
      <c r="A16" s="155" t="str">
        <f t="shared" si="3"/>
        <v>621_PTF2</v>
      </c>
      <c r="B16" s="156">
        <v>621</v>
      </c>
      <c r="C16" s="155" t="s">
        <v>258</v>
      </c>
      <c r="D16" s="155" t="s">
        <v>466</v>
      </c>
      <c r="E16" s="157" t="s">
        <v>272</v>
      </c>
      <c r="F16" s="157" t="s">
        <v>271</v>
      </c>
      <c r="G16" s="155" t="s">
        <v>437</v>
      </c>
      <c r="H16" s="155" t="s">
        <v>441</v>
      </c>
      <c r="I16" s="156">
        <v>4000</v>
      </c>
      <c r="J16" s="156">
        <v>407</v>
      </c>
      <c r="K16" s="156">
        <v>9.8280098280098276</v>
      </c>
      <c r="L16" s="155" t="s">
        <v>465</v>
      </c>
      <c r="M16" s="162">
        <v>2.144423463751834E-2</v>
      </c>
      <c r="N16" s="162">
        <v>0.210754148771679</v>
      </c>
      <c r="O16" s="156">
        <v>1.8666666666666668E-2</v>
      </c>
      <c r="P16" s="156">
        <v>0.18345618345618347</v>
      </c>
      <c r="Q16" s="156">
        <v>1.8666666666666668E-2</v>
      </c>
      <c r="R16" s="156">
        <v>0.18345618345618347</v>
      </c>
      <c r="S16" s="159"/>
      <c r="T16" s="155" t="s">
        <v>439</v>
      </c>
      <c r="U16" s="155" t="s">
        <v>446</v>
      </c>
      <c r="V16" s="160">
        <v>24929</v>
      </c>
      <c r="W16" s="155" t="s">
        <v>219</v>
      </c>
      <c r="X16" s="155" t="s">
        <v>219</v>
      </c>
      <c r="Y16" s="161"/>
      <c r="Z16" s="155" t="s">
        <v>219</v>
      </c>
      <c r="AA16" s="155" t="s">
        <v>219</v>
      </c>
      <c r="AB16" s="161"/>
      <c r="AC16" s="155" t="s">
        <v>219</v>
      </c>
      <c r="AD16" s="155" t="s">
        <v>219</v>
      </c>
      <c r="AE16" s="161"/>
      <c r="AF16" s="155" t="s">
        <v>219</v>
      </c>
      <c r="AG16" s="155" t="s">
        <v>219</v>
      </c>
      <c r="AH16" s="161"/>
      <c r="AI16" s="155" t="s">
        <v>219</v>
      </c>
      <c r="AJ16" s="155" t="s">
        <v>219</v>
      </c>
      <c r="AK16" s="161"/>
      <c r="AL16" s="155" t="s">
        <v>219</v>
      </c>
      <c r="AM16" s="155" t="s">
        <v>219</v>
      </c>
      <c r="AN16" s="161"/>
      <c r="AO16" s="155" t="s">
        <v>219</v>
      </c>
      <c r="AP16" s="155" t="s">
        <v>219</v>
      </c>
      <c r="AQ16" s="161"/>
      <c r="AR16" s="155" t="s">
        <v>219</v>
      </c>
      <c r="AS16" s="155" t="s">
        <v>219</v>
      </c>
      <c r="AT16" s="161"/>
      <c r="AU16" s="155" t="s">
        <v>219</v>
      </c>
      <c r="AV16" s="155" t="s">
        <v>219</v>
      </c>
      <c r="AW16" s="161"/>
      <c r="AX16" s="155" t="s">
        <v>219</v>
      </c>
      <c r="AY16" s="155" t="s">
        <v>219</v>
      </c>
      <c r="AZ16" s="161"/>
      <c r="BA16" s="155" t="s">
        <v>219</v>
      </c>
      <c r="BB16" s="155" t="s">
        <v>219</v>
      </c>
      <c r="BC16" s="161"/>
    </row>
    <row r="17" spans="1:55">
      <c r="A17" s="155" t="str">
        <f t="shared" si="3"/>
        <v>6042_PMT2</v>
      </c>
      <c r="B17" s="156">
        <v>6042</v>
      </c>
      <c r="C17" s="155" t="s">
        <v>297</v>
      </c>
      <c r="D17" s="155" t="s">
        <v>466</v>
      </c>
      <c r="E17" s="157" t="s">
        <v>299</v>
      </c>
      <c r="F17" s="157" t="s">
        <v>298</v>
      </c>
      <c r="G17" s="155" t="s">
        <v>437</v>
      </c>
      <c r="H17" s="155" t="s">
        <v>441</v>
      </c>
      <c r="I17" s="156">
        <v>8650</v>
      </c>
      <c r="J17" s="156">
        <v>854</v>
      </c>
      <c r="K17" s="156">
        <v>10.128805620608899</v>
      </c>
      <c r="L17" s="155" t="s">
        <v>465</v>
      </c>
      <c r="M17" s="156">
        <v>2.0106264824962333E-2</v>
      </c>
      <c r="N17" s="156">
        <v>0.20365244816852948</v>
      </c>
      <c r="O17" s="162">
        <v>2.8500000000000001E-2</v>
      </c>
      <c r="P17" s="162">
        <v>0.28867096018735366</v>
      </c>
      <c r="Q17" s="156">
        <v>2.0106264824962333E-2</v>
      </c>
      <c r="R17" s="156">
        <v>0.20365244816852948</v>
      </c>
      <c r="S17" s="159"/>
      <c r="T17" s="155" t="s">
        <v>439</v>
      </c>
      <c r="U17" s="155" t="s">
        <v>446</v>
      </c>
      <c r="V17" s="160">
        <v>28430</v>
      </c>
      <c r="W17" s="155" t="s">
        <v>219</v>
      </c>
      <c r="X17" s="155" t="s">
        <v>219</v>
      </c>
      <c r="Y17" s="161"/>
      <c r="Z17" s="155" t="s">
        <v>219</v>
      </c>
      <c r="AA17" s="155" t="s">
        <v>219</v>
      </c>
      <c r="AB17" s="161"/>
      <c r="AC17" s="155" t="s">
        <v>219</v>
      </c>
      <c r="AD17" s="155" t="s">
        <v>219</v>
      </c>
      <c r="AE17" s="161"/>
      <c r="AF17" s="155" t="s">
        <v>219</v>
      </c>
      <c r="AG17" s="155" t="s">
        <v>219</v>
      </c>
      <c r="AH17" s="161"/>
      <c r="AI17" s="155" t="s">
        <v>219</v>
      </c>
      <c r="AJ17" s="155" t="s">
        <v>219</v>
      </c>
      <c r="AK17" s="161"/>
      <c r="AL17" s="155" t="s">
        <v>219</v>
      </c>
      <c r="AM17" s="155" t="s">
        <v>219</v>
      </c>
      <c r="AN17" s="161"/>
      <c r="AO17" s="155" t="s">
        <v>219</v>
      </c>
      <c r="AP17" s="155" t="s">
        <v>219</v>
      </c>
      <c r="AQ17" s="161"/>
      <c r="AR17" s="155" t="s">
        <v>219</v>
      </c>
      <c r="AS17" s="155" t="s">
        <v>219</v>
      </c>
      <c r="AT17" s="161"/>
      <c r="AU17" s="155" t="s">
        <v>219</v>
      </c>
      <c r="AV17" s="155" t="s">
        <v>219</v>
      </c>
      <c r="AW17" s="161"/>
      <c r="AX17" s="155" t="s">
        <v>219</v>
      </c>
      <c r="AY17" s="155" t="s">
        <v>219</v>
      </c>
      <c r="AZ17" s="161"/>
      <c r="BA17" s="155" t="s">
        <v>219</v>
      </c>
      <c r="BB17" s="155" t="s">
        <v>219</v>
      </c>
      <c r="BC17" s="161"/>
    </row>
    <row r="18" spans="1:55">
      <c r="A18" s="155" t="str">
        <f t="shared" si="3"/>
        <v>2050_1</v>
      </c>
      <c r="B18" s="156">
        <v>2050</v>
      </c>
      <c r="C18" s="155" t="s">
        <v>351</v>
      </c>
      <c r="D18" s="155" t="s">
        <v>472</v>
      </c>
      <c r="E18" s="157" t="s">
        <v>353</v>
      </c>
      <c r="F18" s="157" t="s">
        <v>352</v>
      </c>
      <c r="G18" s="155" t="s">
        <v>437</v>
      </c>
      <c r="H18" s="155" t="s">
        <v>438</v>
      </c>
      <c r="I18" s="156">
        <v>4900</v>
      </c>
      <c r="J18" s="156">
        <v>408</v>
      </c>
      <c r="K18" s="156">
        <v>12.009803921568627</v>
      </c>
      <c r="L18" s="155" t="s">
        <v>465</v>
      </c>
      <c r="M18" s="162">
        <v>2.071940755194308E-2</v>
      </c>
      <c r="N18" s="162">
        <v>0.24883602206990463</v>
      </c>
      <c r="O18" s="158"/>
      <c r="P18" s="158"/>
      <c r="Q18" s="156">
        <v>2.071940755194308E-2</v>
      </c>
      <c r="R18" s="156">
        <v>0.24883602206990463</v>
      </c>
      <c r="S18" s="159"/>
      <c r="T18" s="155" t="s">
        <v>219</v>
      </c>
      <c r="U18" s="155" t="s">
        <v>219</v>
      </c>
      <c r="V18" s="158"/>
      <c r="W18" s="155" t="s">
        <v>219</v>
      </c>
      <c r="X18" s="155" t="s">
        <v>219</v>
      </c>
      <c r="Y18" s="161"/>
      <c r="Z18" s="155" t="s">
        <v>219</v>
      </c>
      <c r="AA18" s="155" t="s">
        <v>219</v>
      </c>
      <c r="AB18" s="161"/>
      <c r="AC18" s="155" t="s">
        <v>219</v>
      </c>
      <c r="AD18" s="155" t="s">
        <v>219</v>
      </c>
      <c r="AE18" s="161"/>
      <c r="AF18" s="155" t="s">
        <v>219</v>
      </c>
      <c r="AG18" s="155" t="s">
        <v>219</v>
      </c>
      <c r="AH18" s="161"/>
      <c r="AI18" s="155" t="s">
        <v>219</v>
      </c>
      <c r="AJ18" s="155" t="s">
        <v>219</v>
      </c>
      <c r="AK18" s="161"/>
      <c r="AL18" s="155" t="s">
        <v>219</v>
      </c>
      <c r="AM18" s="155" t="s">
        <v>219</v>
      </c>
      <c r="AN18" s="161"/>
      <c r="AO18" s="155" t="s">
        <v>219</v>
      </c>
      <c r="AP18" s="155" t="s">
        <v>219</v>
      </c>
      <c r="AQ18" s="161"/>
      <c r="AR18" s="155" t="s">
        <v>219</v>
      </c>
      <c r="AS18" s="155" t="s">
        <v>219</v>
      </c>
      <c r="AT18" s="161"/>
      <c r="AU18" s="155" t="s">
        <v>219</v>
      </c>
      <c r="AV18" s="155" t="s">
        <v>219</v>
      </c>
      <c r="AW18" s="161"/>
      <c r="AX18" s="155" t="s">
        <v>219</v>
      </c>
      <c r="AY18" s="155" t="s">
        <v>219</v>
      </c>
      <c r="AZ18" s="161"/>
      <c r="BA18" s="155" t="s">
        <v>219</v>
      </c>
      <c r="BB18" s="155" t="s">
        <v>219</v>
      </c>
      <c r="BC18" s="161"/>
    </row>
    <row r="19" spans="1:55">
      <c r="A19" s="155" t="str">
        <f t="shared" si="3"/>
        <v>8906_50</v>
      </c>
      <c r="B19" s="156">
        <v>8906</v>
      </c>
      <c r="C19" s="155" t="s">
        <v>253</v>
      </c>
      <c r="D19" s="155" t="s">
        <v>468</v>
      </c>
      <c r="E19" s="157" t="s">
        <v>332</v>
      </c>
      <c r="F19" s="157" t="s">
        <v>331</v>
      </c>
      <c r="G19" s="155" t="s">
        <v>437</v>
      </c>
      <c r="H19" s="155" t="s">
        <v>438</v>
      </c>
      <c r="I19" s="156">
        <v>4094</v>
      </c>
      <c r="J19" s="156">
        <v>386</v>
      </c>
      <c r="K19" s="156">
        <v>10.606217616580311</v>
      </c>
      <c r="L19" s="155" t="s">
        <v>465</v>
      </c>
      <c r="M19" s="161"/>
      <c r="N19" s="161"/>
      <c r="O19" s="156">
        <v>2.1299999999999999E-2</v>
      </c>
      <c r="P19" s="156">
        <v>0.22591243523316062</v>
      </c>
      <c r="Q19" s="156">
        <v>2.1299999999999999E-2</v>
      </c>
      <c r="R19" s="156">
        <v>0.22591243523316062</v>
      </c>
      <c r="S19" s="159"/>
      <c r="T19" s="155" t="s">
        <v>219</v>
      </c>
      <c r="U19" s="155" t="s">
        <v>219</v>
      </c>
      <c r="V19" s="158"/>
      <c r="W19" s="155" t="s">
        <v>219</v>
      </c>
      <c r="X19" s="155" t="s">
        <v>219</v>
      </c>
      <c r="Y19" s="161"/>
      <c r="Z19" s="155" t="s">
        <v>219</v>
      </c>
      <c r="AA19" s="155" t="s">
        <v>219</v>
      </c>
      <c r="AB19" s="161"/>
      <c r="AC19" s="155" t="s">
        <v>219</v>
      </c>
      <c r="AD19" s="155" t="s">
        <v>219</v>
      </c>
      <c r="AE19" s="161"/>
      <c r="AF19" s="155" t="s">
        <v>219</v>
      </c>
      <c r="AG19" s="155" t="s">
        <v>219</v>
      </c>
      <c r="AH19" s="161"/>
      <c r="AI19" s="155" t="s">
        <v>219</v>
      </c>
      <c r="AJ19" s="155" t="s">
        <v>219</v>
      </c>
      <c r="AK19" s="161"/>
      <c r="AL19" s="155" t="s">
        <v>219</v>
      </c>
      <c r="AM19" s="155" t="s">
        <v>219</v>
      </c>
      <c r="AN19" s="161"/>
      <c r="AO19" s="155" t="s">
        <v>219</v>
      </c>
      <c r="AP19" s="155" t="s">
        <v>219</v>
      </c>
      <c r="AQ19" s="161"/>
      <c r="AR19" s="155" t="s">
        <v>219</v>
      </c>
      <c r="AS19" s="155" t="s">
        <v>219</v>
      </c>
      <c r="AT19" s="161"/>
      <c r="AU19" s="155" t="s">
        <v>219</v>
      </c>
      <c r="AV19" s="155" t="s">
        <v>219</v>
      </c>
      <c r="AW19" s="161"/>
      <c r="AX19" s="155" t="s">
        <v>219</v>
      </c>
      <c r="AY19" s="155" t="s">
        <v>219</v>
      </c>
      <c r="AZ19" s="161"/>
      <c r="BA19" s="155" t="s">
        <v>219</v>
      </c>
      <c r="BB19" s="155" t="s">
        <v>219</v>
      </c>
      <c r="BC19" s="161"/>
    </row>
    <row r="20" spans="1:55">
      <c r="A20" s="155" t="str">
        <f t="shared" si="3"/>
        <v>609_PCC1</v>
      </c>
      <c r="B20" s="156">
        <v>609</v>
      </c>
      <c r="C20" s="155" t="s">
        <v>288</v>
      </c>
      <c r="D20" s="155" t="s">
        <v>466</v>
      </c>
      <c r="E20" s="157" t="s">
        <v>290</v>
      </c>
      <c r="F20" s="157" t="s">
        <v>289</v>
      </c>
      <c r="G20" s="155" t="s">
        <v>437</v>
      </c>
      <c r="H20" s="155" t="s">
        <v>441</v>
      </c>
      <c r="I20" s="156">
        <v>4000</v>
      </c>
      <c r="J20" s="156">
        <v>397</v>
      </c>
      <c r="K20" s="156">
        <v>10.075566750629722</v>
      </c>
      <c r="L20" s="155" t="s">
        <v>465</v>
      </c>
      <c r="M20" s="161"/>
      <c r="N20" s="161"/>
      <c r="O20" s="156">
        <v>2.2833333333333334E-2</v>
      </c>
      <c r="P20" s="156">
        <v>0.23005877413937867</v>
      </c>
      <c r="Q20" s="156">
        <v>2.2833333333333334E-2</v>
      </c>
      <c r="R20" s="156">
        <v>0.23005877413937867</v>
      </c>
      <c r="S20" s="159"/>
      <c r="T20" s="155" t="s">
        <v>439</v>
      </c>
      <c r="U20" s="155" t="s">
        <v>446</v>
      </c>
      <c r="V20" s="160">
        <v>23833</v>
      </c>
      <c r="W20" s="155" t="s">
        <v>219</v>
      </c>
      <c r="X20" s="155" t="s">
        <v>219</v>
      </c>
      <c r="Y20" s="161"/>
      <c r="Z20" s="155" t="s">
        <v>219</v>
      </c>
      <c r="AA20" s="155" t="s">
        <v>219</v>
      </c>
      <c r="AB20" s="161"/>
      <c r="AC20" s="155" t="s">
        <v>219</v>
      </c>
      <c r="AD20" s="155" t="s">
        <v>219</v>
      </c>
      <c r="AE20" s="161"/>
      <c r="AF20" s="155" t="s">
        <v>219</v>
      </c>
      <c r="AG20" s="155" t="s">
        <v>219</v>
      </c>
      <c r="AH20" s="161"/>
      <c r="AI20" s="155" t="s">
        <v>219</v>
      </c>
      <c r="AJ20" s="155" t="s">
        <v>219</v>
      </c>
      <c r="AK20" s="161"/>
      <c r="AL20" s="155" t="s">
        <v>219</v>
      </c>
      <c r="AM20" s="155" t="s">
        <v>219</v>
      </c>
      <c r="AN20" s="161"/>
      <c r="AO20" s="155" t="s">
        <v>219</v>
      </c>
      <c r="AP20" s="155" t="s">
        <v>219</v>
      </c>
      <c r="AQ20" s="161"/>
      <c r="AR20" s="155" t="s">
        <v>219</v>
      </c>
      <c r="AS20" s="155" t="s">
        <v>219</v>
      </c>
      <c r="AT20" s="161"/>
      <c r="AU20" s="155" t="s">
        <v>219</v>
      </c>
      <c r="AV20" s="155" t="s">
        <v>219</v>
      </c>
      <c r="AW20" s="161"/>
      <c r="AX20" s="155" t="s">
        <v>219</v>
      </c>
      <c r="AY20" s="155" t="s">
        <v>219</v>
      </c>
      <c r="AZ20" s="161"/>
      <c r="BA20" s="155" t="s">
        <v>219</v>
      </c>
      <c r="BB20" s="155" t="s">
        <v>219</v>
      </c>
      <c r="BC20" s="161"/>
    </row>
    <row r="21" spans="1:55">
      <c r="A21" s="155" t="str">
        <f t="shared" si="3"/>
        <v>2493_70</v>
      </c>
      <c r="B21" s="156">
        <v>2493</v>
      </c>
      <c r="C21" s="155" t="s">
        <v>249</v>
      </c>
      <c r="D21" s="155" t="s">
        <v>468</v>
      </c>
      <c r="E21" s="157" t="s">
        <v>306</v>
      </c>
      <c r="F21" s="157" t="s">
        <v>306</v>
      </c>
      <c r="G21" s="155" t="s">
        <v>437</v>
      </c>
      <c r="H21" s="155" t="s">
        <v>441</v>
      </c>
      <c r="I21" s="156">
        <v>1982</v>
      </c>
      <c r="J21" s="156">
        <v>198</v>
      </c>
      <c r="K21" s="156">
        <v>10.01010101010101</v>
      </c>
      <c r="L21" s="155" t="s">
        <v>465</v>
      </c>
      <c r="M21" s="158"/>
      <c r="N21" s="158"/>
      <c r="O21" s="162">
        <v>2.4E-2</v>
      </c>
      <c r="P21" s="162">
        <v>0.24024242424242426</v>
      </c>
      <c r="Q21" s="156">
        <v>2.4E-2</v>
      </c>
      <c r="R21" s="156">
        <v>0.24024242424242426</v>
      </c>
      <c r="S21" s="159"/>
      <c r="T21" s="155" t="s">
        <v>219</v>
      </c>
      <c r="U21" s="155" t="s">
        <v>219</v>
      </c>
      <c r="V21" s="161"/>
      <c r="W21" s="155" t="s">
        <v>219</v>
      </c>
      <c r="X21" s="155" t="s">
        <v>219</v>
      </c>
      <c r="Y21" s="161"/>
      <c r="Z21" s="155" t="s">
        <v>219</v>
      </c>
      <c r="AA21" s="155" t="s">
        <v>219</v>
      </c>
      <c r="AB21" s="161"/>
      <c r="AC21" s="155" t="s">
        <v>219</v>
      </c>
      <c r="AD21" s="155" t="s">
        <v>219</v>
      </c>
      <c r="AE21" s="161"/>
      <c r="AF21" s="155" t="s">
        <v>219</v>
      </c>
      <c r="AG21" s="155" t="s">
        <v>219</v>
      </c>
      <c r="AH21" s="161"/>
      <c r="AI21" s="155" t="s">
        <v>219</v>
      </c>
      <c r="AJ21" s="155" t="s">
        <v>219</v>
      </c>
      <c r="AK21" s="161"/>
      <c r="AL21" s="155" t="s">
        <v>219</v>
      </c>
      <c r="AM21" s="155" t="s">
        <v>219</v>
      </c>
      <c r="AN21" s="161"/>
      <c r="AO21" s="155" t="s">
        <v>219</v>
      </c>
      <c r="AP21" s="155" t="s">
        <v>219</v>
      </c>
      <c r="AQ21" s="161"/>
      <c r="AR21" s="155" t="s">
        <v>219</v>
      </c>
      <c r="AS21" s="155" t="s">
        <v>219</v>
      </c>
      <c r="AT21" s="161"/>
      <c r="AU21" s="155" t="s">
        <v>219</v>
      </c>
      <c r="AV21" s="155" t="s">
        <v>219</v>
      </c>
      <c r="AW21" s="161"/>
      <c r="AX21" s="155" t="s">
        <v>219</v>
      </c>
      <c r="AY21" s="155" t="s">
        <v>219</v>
      </c>
      <c r="AZ21" s="161"/>
      <c r="BA21" s="155" t="s">
        <v>219</v>
      </c>
      <c r="BB21" s="155" t="s">
        <v>219</v>
      </c>
      <c r="BC21" s="161"/>
    </row>
    <row r="22" spans="1:55">
      <c r="A22" s="155" t="str">
        <f t="shared" si="3"/>
        <v>6043_PMR1</v>
      </c>
      <c r="B22" s="156">
        <v>6043</v>
      </c>
      <c r="C22" s="155" t="s">
        <v>279</v>
      </c>
      <c r="D22" s="155" t="s">
        <v>466</v>
      </c>
      <c r="E22" s="157" t="s">
        <v>324</v>
      </c>
      <c r="F22" s="157" t="s">
        <v>323</v>
      </c>
      <c r="G22" s="155" t="s">
        <v>437</v>
      </c>
      <c r="H22" s="155" t="s">
        <v>441</v>
      </c>
      <c r="I22" s="156">
        <v>9040</v>
      </c>
      <c r="J22" s="156">
        <v>859</v>
      </c>
      <c r="K22" s="156">
        <v>10.523864959254947</v>
      </c>
      <c r="L22" s="155" t="s">
        <v>465</v>
      </c>
      <c r="M22" s="156">
        <v>2.8922062680541736E-2</v>
      </c>
      <c r="N22" s="156">
        <v>0.30437188199312837</v>
      </c>
      <c r="O22" s="162">
        <v>2.4666666666666667E-2</v>
      </c>
      <c r="P22" s="162">
        <v>0.25958866899495536</v>
      </c>
      <c r="Q22" s="156">
        <v>2.4666666666666667E-2</v>
      </c>
      <c r="R22" s="156">
        <v>0.25958866899495536</v>
      </c>
      <c r="S22" s="159"/>
      <c r="T22" s="155" t="s">
        <v>439</v>
      </c>
      <c r="U22" s="155" t="s">
        <v>446</v>
      </c>
      <c r="V22" s="163">
        <v>29556</v>
      </c>
      <c r="W22" s="155" t="s">
        <v>219</v>
      </c>
      <c r="X22" s="155" t="s">
        <v>219</v>
      </c>
      <c r="Y22" s="161"/>
      <c r="Z22" s="155" t="s">
        <v>219</v>
      </c>
      <c r="AA22" s="155" t="s">
        <v>219</v>
      </c>
      <c r="AB22" s="161"/>
      <c r="AC22" s="155" t="s">
        <v>219</v>
      </c>
      <c r="AD22" s="155" t="s">
        <v>219</v>
      </c>
      <c r="AE22" s="161"/>
      <c r="AF22" s="155" t="s">
        <v>219</v>
      </c>
      <c r="AG22" s="155" t="s">
        <v>219</v>
      </c>
      <c r="AH22" s="161"/>
      <c r="AI22" s="155" t="s">
        <v>219</v>
      </c>
      <c r="AJ22" s="155" t="s">
        <v>219</v>
      </c>
      <c r="AK22" s="161"/>
      <c r="AL22" s="155" t="s">
        <v>219</v>
      </c>
      <c r="AM22" s="155" t="s">
        <v>219</v>
      </c>
      <c r="AN22" s="161"/>
      <c r="AO22" s="155" t="s">
        <v>219</v>
      </c>
      <c r="AP22" s="155" t="s">
        <v>219</v>
      </c>
      <c r="AQ22" s="161"/>
      <c r="AR22" s="155" t="s">
        <v>219</v>
      </c>
      <c r="AS22" s="155" t="s">
        <v>219</v>
      </c>
      <c r="AT22" s="161"/>
      <c r="AU22" s="155" t="s">
        <v>219</v>
      </c>
      <c r="AV22" s="155" t="s">
        <v>219</v>
      </c>
      <c r="AW22" s="161"/>
      <c r="AX22" s="155" t="s">
        <v>219</v>
      </c>
      <c r="AY22" s="155" t="s">
        <v>219</v>
      </c>
      <c r="AZ22" s="161"/>
      <c r="BA22" s="155" t="s">
        <v>219</v>
      </c>
      <c r="BB22" s="155" t="s">
        <v>219</v>
      </c>
      <c r="BC22" s="161"/>
    </row>
    <row r="23" spans="1:55">
      <c r="A23" s="155" t="str">
        <f t="shared" si="3"/>
        <v>8906_30</v>
      </c>
      <c r="B23" s="156">
        <v>8906</v>
      </c>
      <c r="C23" s="155" t="s">
        <v>253</v>
      </c>
      <c r="D23" s="155" t="s">
        <v>468</v>
      </c>
      <c r="E23" s="157" t="s">
        <v>336</v>
      </c>
      <c r="F23" s="157" t="s">
        <v>335</v>
      </c>
      <c r="G23" s="155" t="s">
        <v>437</v>
      </c>
      <c r="H23" s="155" t="s">
        <v>441</v>
      </c>
      <c r="I23" s="156">
        <v>3984</v>
      </c>
      <c r="J23" s="156">
        <v>383.5</v>
      </c>
      <c r="K23" s="156">
        <v>10.388526727509779</v>
      </c>
      <c r="L23" s="155" t="s">
        <v>465</v>
      </c>
      <c r="M23" s="158"/>
      <c r="N23" s="158"/>
      <c r="O23" s="162">
        <v>2.52E-2</v>
      </c>
      <c r="P23" s="162">
        <v>0.26179087353324643</v>
      </c>
      <c r="Q23" s="156">
        <v>2.52E-2</v>
      </c>
      <c r="R23" s="156">
        <v>0.26179087353324643</v>
      </c>
      <c r="S23" s="159"/>
      <c r="T23" s="155" t="s">
        <v>219</v>
      </c>
      <c r="U23" s="155" t="s">
        <v>219</v>
      </c>
      <c r="V23" s="161"/>
      <c r="W23" s="155" t="s">
        <v>219</v>
      </c>
      <c r="X23" s="155" t="s">
        <v>219</v>
      </c>
      <c r="Y23" s="161"/>
      <c r="Z23" s="155" t="s">
        <v>219</v>
      </c>
      <c r="AA23" s="155" t="s">
        <v>219</v>
      </c>
      <c r="AB23" s="161"/>
      <c r="AC23" s="155" t="s">
        <v>219</v>
      </c>
      <c r="AD23" s="155" t="s">
        <v>219</v>
      </c>
      <c r="AE23" s="161"/>
      <c r="AF23" s="155" t="s">
        <v>219</v>
      </c>
      <c r="AG23" s="155" t="s">
        <v>219</v>
      </c>
      <c r="AH23" s="161"/>
      <c r="AI23" s="155" t="s">
        <v>219</v>
      </c>
      <c r="AJ23" s="155" t="s">
        <v>219</v>
      </c>
      <c r="AK23" s="161"/>
      <c r="AL23" s="155" t="s">
        <v>219</v>
      </c>
      <c r="AM23" s="155" t="s">
        <v>219</v>
      </c>
      <c r="AN23" s="161"/>
      <c r="AO23" s="155" t="s">
        <v>219</v>
      </c>
      <c r="AP23" s="155" t="s">
        <v>219</v>
      </c>
      <c r="AQ23" s="161"/>
      <c r="AR23" s="155" t="s">
        <v>219</v>
      </c>
      <c r="AS23" s="155" t="s">
        <v>219</v>
      </c>
      <c r="AT23" s="161"/>
      <c r="AU23" s="155" t="s">
        <v>219</v>
      </c>
      <c r="AV23" s="155" t="s">
        <v>219</v>
      </c>
      <c r="AW23" s="161"/>
      <c r="AX23" s="155" t="s">
        <v>219</v>
      </c>
      <c r="AY23" s="155" t="s">
        <v>219</v>
      </c>
      <c r="AZ23" s="161"/>
      <c r="BA23" s="155" t="s">
        <v>219</v>
      </c>
      <c r="BB23" s="155" t="s">
        <v>219</v>
      </c>
      <c r="BC23" s="161"/>
    </row>
    <row r="24" spans="1:55">
      <c r="A24" s="155" t="str">
        <f t="shared" si="3"/>
        <v>2516_2</v>
      </c>
      <c r="B24" s="156">
        <v>2516</v>
      </c>
      <c r="C24" s="155" t="s">
        <v>267</v>
      </c>
      <c r="D24" s="155" t="s">
        <v>468</v>
      </c>
      <c r="E24" s="157" t="s">
        <v>321</v>
      </c>
      <c r="F24" s="157" t="s">
        <v>232</v>
      </c>
      <c r="G24" s="155" t="s">
        <v>437</v>
      </c>
      <c r="H24" s="155" t="s">
        <v>438</v>
      </c>
      <c r="I24" s="156">
        <v>3650</v>
      </c>
      <c r="J24" s="156">
        <v>375</v>
      </c>
      <c r="K24" s="156">
        <v>9.7333333333333325</v>
      </c>
      <c r="L24" s="155" t="s">
        <v>469</v>
      </c>
      <c r="M24" s="156">
        <v>2.6255603256551158E-2</v>
      </c>
      <c r="N24" s="156">
        <v>0.25555453836376457</v>
      </c>
      <c r="O24" s="161"/>
      <c r="P24" s="161"/>
      <c r="Q24" s="156">
        <v>2.6255603256551158E-2</v>
      </c>
      <c r="R24" s="156">
        <v>0.25555453836376457</v>
      </c>
      <c r="S24" s="159"/>
      <c r="T24" s="155" t="s">
        <v>439</v>
      </c>
      <c r="U24" s="155" t="s">
        <v>440</v>
      </c>
      <c r="V24" s="160">
        <v>27120</v>
      </c>
      <c r="W24" s="155" t="s">
        <v>219</v>
      </c>
      <c r="X24" s="155" t="s">
        <v>219</v>
      </c>
      <c r="Y24" s="161"/>
      <c r="Z24" s="155" t="s">
        <v>219</v>
      </c>
      <c r="AA24" s="155" t="s">
        <v>219</v>
      </c>
      <c r="AB24" s="161"/>
      <c r="AC24" s="155" t="s">
        <v>219</v>
      </c>
      <c r="AD24" s="155" t="s">
        <v>219</v>
      </c>
      <c r="AE24" s="161"/>
      <c r="AF24" s="155" t="s">
        <v>219</v>
      </c>
      <c r="AG24" s="155" t="s">
        <v>219</v>
      </c>
      <c r="AH24" s="161"/>
      <c r="AI24" s="155" t="s">
        <v>219</v>
      </c>
      <c r="AJ24" s="155" t="s">
        <v>219</v>
      </c>
      <c r="AK24" s="161"/>
      <c r="AL24" s="155" t="s">
        <v>219</v>
      </c>
      <c r="AM24" s="155" t="s">
        <v>219</v>
      </c>
      <c r="AN24" s="161"/>
      <c r="AO24" s="155" t="s">
        <v>219</v>
      </c>
      <c r="AP24" s="155" t="s">
        <v>219</v>
      </c>
      <c r="AQ24" s="161"/>
      <c r="AR24" s="155" t="s">
        <v>219</v>
      </c>
      <c r="AS24" s="155" t="s">
        <v>219</v>
      </c>
      <c r="AT24" s="161"/>
      <c r="AU24" s="155" t="s">
        <v>219</v>
      </c>
      <c r="AV24" s="155" t="s">
        <v>219</v>
      </c>
      <c r="AW24" s="161"/>
      <c r="AX24" s="155" t="s">
        <v>219</v>
      </c>
      <c r="AY24" s="155" t="s">
        <v>219</v>
      </c>
      <c r="AZ24" s="161"/>
      <c r="BA24" s="155" t="s">
        <v>219</v>
      </c>
      <c r="BB24" s="155" t="s">
        <v>219</v>
      </c>
      <c r="BC24" s="161"/>
    </row>
    <row r="25" spans="1:55">
      <c r="A25" s="155" t="str">
        <f t="shared" si="3"/>
        <v>8906_40</v>
      </c>
      <c r="B25" s="156">
        <v>8906</v>
      </c>
      <c r="C25" s="155" t="s">
        <v>253</v>
      </c>
      <c r="D25" s="155" t="s">
        <v>468</v>
      </c>
      <c r="E25" s="157" t="s">
        <v>255</v>
      </c>
      <c r="F25" s="157" t="s">
        <v>254</v>
      </c>
      <c r="G25" s="155" t="s">
        <v>437</v>
      </c>
      <c r="H25" s="155" t="s">
        <v>438</v>
      </c>
      <c r="I25" s="156">
        <v>4074</v>
      </c>
      <c r="J25" s="156">
        <v>388.25</v>
      </c>
      <c r="K25" s="156">
        <v>10.493238892466195</v>
      </c>
      <c r="L25" s="155" t="s">
        <v>465</v>
      </c>
      <c r="M25" s="156">
        <v>5.8364503947195591E-2</v>
      </c>
      <c r="N25" s="156">
        <v>0.6124326827582095</v>
      </c>
      <c r="O25" s="156">
        <v>2.6599999999999999E-2</v>
      </c>
      <c r="P25" s="156">
        <v>0.27912015453960076</v>
      </c>
      <c r="Q25" s="156">
        <v>2.6599999999999999E-2</v>
      </c>
      <c r="R25" s="156">
        <v>0.27912015453960076</v>
      </c>
      <c r="S25" s="159"/>
      <c r="T25" s="155" t="s">
        <v>219</v>
      </c>
      <c r="U25" s="155" t="s">
        <v>219</v>
      </c>
      <c r="V25" s="161"/>
      <c r="W25" s="155" t="s">
        <v>219</v>
      </c>
      <c r="X25" s="155" t="s">
        <v>219</v>
      </c>
      <c r="Y25" s="161"/>
      <c r="Z25" s="155" t="s">
        <v>219</v>
      </c>
      <c r="AA25" s="155" t="s">
        <v>219</v>
      </c>
      <c r="AB25" s="161"/>
      <c r="AC25" s="155" t="s">
        <v>219</v>
      </c>
      <c r="AD25" s="155" t="s">
        <v>219</v>
      </c>
      <c r="AE25" s="161"/>
      <c r="AF25" s="155" t="s">
        <v>219</v>
      </c>
      <c r="AG25" s="155" t="s">
        <v>219</v>
      </c>
      <c r="AH25" s="161"/>
      <c r="AI25" s="155" t="s">
        <v>219</v>
      </c>
      <c r="AJ25" s="155" t="s">
        <v>219</v>
      </c>
      <c r="AK25" s="161"/>
      <c r="AL25" s="155" t="s">
        <v>219</v>
      </c>
      <c r="AM25" s="155" t="s">
        <v>219</v>
      </c>
      <c r="AN25" s="161"/>
      <c r="AO25" s="155" t="s">
        <v>219</v>
      </c>
      <c r="AP25" s="155" t="s">
        <v>219</v>
      </c>
      <c r="AQ25" s="161"/>
      <c r="AR25" s="155" t="s">
        <v>219</v>
      </c>
      <c r="AS25" s="155" t="s">
        <v>219</v>
      </c>
      <c r="AT25" s="161"/>
      <c r="AU25" s="155" t="s">
        <v>219</v>
      </c>
      <c r="AV25" s="155" t="s">
        <v>219</v>
      </c>
      <c r="AW25" s="161"/>
      <c r="AX25" s="155" t="s">
        <v>219</v>
      </c>
      <c r="AY25" s="155" t="s">
        <v>219</v>
      </c>
      <c r="AZ25" s="161"/>
      <c r="BA25" s="155" t="s">
        <v>219</v>
      </c>
      <c r="BB25" s="155" t="s">
        <v>219</v>
      </c>
      <c r="BC25" s="161"/>
    </row>
    <row r="26" spans="1:55" s="164" customFormat="1">
      <c r="A26" s="155" t="str">
        <f t="shared" si="3"/>
        <v>667_3</v>
      </c>
      <c r="B26" s="156">
        <v>667</v>
      </c>
      <c r="C26" s="155" t="s">
        <v>309</v>
      </c>
      <c r="D26" s="155" t="s">
        <v>466</v>
      </c>
      <c r="E26" s="157" t="s">
        <v>268</v>
      </c>
      <c r="F26" s="157" t="s">
        <v>268</v>
      </c>
      <c r="G26" s="155" t="s">
        <v>437</v>
      </c>
      <c r="H26" s="155" t="s">
        <v>441</v>
      </c>
      <c r="I26" s="156">
        <v>4857</v>
      </c>
      <c r="J26" s="156">
        <v>538</v>
      </c>
      <c r="K26" s="156">
        <v>9.0278810408921935</v>
      </c>
      <c r="L26" s="155" t="s">
        <v>465</v>
      </c>
      <c r="M26" s="156">
        <v>3.4663687026593108E-2</v>
      </c>
      <c r="N26" s="156">
        <v>0.31293964291480059</v>
      </c>
      <c r="O26" s="156">
        <v>2.7266666666666665E-2</v>
      </c>
      <c r="P26" s="156">
        <v>0.24616022304832713</v>
      </c>
      <c r="Q26" s="156">
        <v>2.7266666666666665E-2</v>
      </c>
      <c r="R26" s="156">
        <v>0.24616022304832713</v>
      </c>
      <c r="S26" s="159"/>
      <c r="T26" s="155" t="s">
        <v>219</v>
      </c>
      <c r="U26" s="155" t="s">
        <v>219</v>
      </c>
      <c r="V26" s="161"/>
      <c r="W26" s="155" t="s">
        <v>219</v>
      </c>
      <c r="X26" s="155" t="s">
        <v>219</v>
      </c>
      <c r="Y26" s="161"/>
      <c r="Z26" s="155" t="s">
        <v>219</v>
      </c>
      <c r="AA26" s="155" t="s">
        <v>219</v>
      </c>
      <c r="AB26" s="161"/>
      <c r="AC26" s="155" t="s">
        <v>219</v>
      </c>
      <c r="AD26" s="155" t="s">
        <v>219</v>
      </c>
      <c r="AE26" s="161"/>
      <c r="AF26" s="155" t="s">
        <v>219</v>
      </c>
      <c r="AG26" s="155" t="s">
        <v>219</v>
      </c>
      <c r="AH26" s="161"/>
      <c r="AI26" s="155" t="s">
        <v>219</v>
      </c>
      <c r="AJ26" s="155" t="s">
        <v>219</v>
      </c>
      <c r="AK26" s="161"/>
      <c r="AL26" s="155" t="s">
        <v>219</v>
      </c>
      <c r="AM26" s="155" t="s">
        <v>219</v>
      </c>
      <c r="AN26" s="161"/>
      <c r="AO26" s="155" t="s">
        <v>219</v>
      </c>
      <c r="AP26" s="155" t="s">
        <v>219</v>
      </c>
      <c r="AQ26" s="161"/>
      <c r="AR26" s="155" t="s">
        <v>219</v>
      </c>
      <c r="AS26" s="155" t="s">
        <v>219</v>
      </c>
      <c r="AT26" s="161"/>
      <c r="AU26" s="155" t="s">
        <v>219</v>
      </c>
      <c r="AV26" s="155" t="s">
        <v>219</v>
      </c>
      <c r="AW26" s="161"/>
      <c r="AX26" s="155" t="s">
        <v>219</v>
      </c>
      <c r="AY26" s="155" t="s">
        <v>219</v>
      </c>
      <c r="AZ26" s="161"/>
      <c r="BA26" s="155" t="s">
        <v>219</v>
      </c>
      <c r="BB26" s="155" t="s">
        <v>219</v>
      </c>
      <c r="BC26" s="161"/>
    </row>
    <row r="27" spans="1:55" s="164" customFormat="1">
      <c r="A27" s="155" t="str">
        <f t="shared" si="3"/>
        <v>6042_PMT1</v>
      </c>
      <c r="B27" s="156">
        <v>6042</v>
      </c>
      <c r="C27" s="155" t="s">
        <v>297</v>
      </c>
      <c r="D27" s="155" t="s">
        <v>466</v>
      </c>
      <c r="E27" s="157" t="s">
        <v>340</v>
      </c>
      <c r="F27" s="157" t="s">
        <v>339</v>
      </c>
      <c r="G27" s="155" t="s">
        <v>437</v>
      </c>
      <c r="H27" s="155" t="s">
        <v>441</v>
      </c>
      <c r="I27" s="156">
        <v>8650</v>
      </c>
      <c r="J27" s="156">
        <v>841</v>
      </c>
      <c r="K27" s="156">
        <v>10.28537455410226</v>
      </c>
      <c r="L27" s="155" t="s">
        <v>465</v>
      </c>
      <c r="M27" s="156">
        <v>3.1948661628742374E-2</v>
      </c>
      <c r="N27" s="156">
        <v>0.32860395135389009</v>
      </c>
      <c r="O27" s="156">
        <v>2.7833333333333331E-2</v>
      </c>
      <c r="P27" s="156">
        <v>0.28627625842251286</v>
      </c>
      <c r="Q27" s="156">
        <v>2.7833333333333331E-2</v>
      </c>
      <c r="R27" s="156">
        <v>0.28627625842251286</v>
      </c>
      <c r="S27" s="159"/>
      <c r="T27" s="155" t="s">
        <v>439</v>
      </c>
      <c r="U27" s="155" t="s">
        <v>446</v>
      </c>
      <c r="V27" s="160">
        <v>28034</v>
      </c>
      <c r="W27" s="155" t="s">
        <v>219</v>
      </c>
      <c r="X27" s="155" t="s">
        <v>219</v>
      </c>
      <c r="Y27" s="161"/>
      <c r="Z27" s="155" t="s">
        <v>219</v>
      </c>
      <c r="AA27" s="155" t="s">
        <v>219</v>
      </c>
      <c r="AB27" s="161"/>
      <c r="AC27" s="155" t="s">
        <v>219</v>
      </c>
      <c r="AD27" s="155" t="s">
        <v>219</v>
      </c>
      <c r="AE27" s="161"/>
      <c r="AF27" s="155" t="s">
        <v>219</v>
      </c>
      <c r="AG27" s="155" t="s">
        <v>219</v>
      </c>
      <c r="AH27" s="161"/>
      <c r="AI27" s="155" t="s">
        <v>219</v>
      </c>
      <c r="AJ27" s="155" t="s">
        <v>219</v>
      </c>
      <c r="AK27" s="161"/>
      <c r="AL27" s="155" t="s">
        <v>219</v>
      </c>
      <c r="AM27" s="155" t="s">
        <v>219</v>
      </c>
      <c r="AN27" s="161"/>
      <c r="AO27" s="155" t="s">
        <v>219</v>
      </c>
      <c r="AP27" s="155" t="s">
        <v>219</v>
      </c>
      <c r="AQ27" s="161"/>
      <c r="AR27" s="155" t="s">
        <v>219</v>
      </c>
      <c r="AS27" s="155" t="s">
        <v>219</v>
      </c>
      <c r="AT27" s="161"/>
      <c r="AU27" s="155" t="s">
        <v>219</v>
      </c>
      <c r="AV27" s="155" t="s">
        <v>219</v>
      </c>
      <c r="AW27" s="161"/>
      <c r="AX27" s="155" t="s">
        <v>219</v>
      </c>
      <c r="AY27" s="155" t="s">
        <v>219</v>
      </c>
      <c r="AZ27" s="161"/>
      <c r="BA27" s="155" t="s">
        <v>219</v>
      </c>
      <c r="BB27" s="155" t="s">
        <v>219</v>
      </c>
      <c r="BC27" s="161"/>
    </row>
    <row r="28" spans="1:55">
      <c r="A28" s="155" t="str">
        <f t="shared" si="3"/>
        <v>609_PPC2</v>
      </c>
      <c r="B28" s="156">
        <v>609</v>
      </c>
      <c r="C28" s="155" t="s">
        <v>288</v>
      </c>
      <c r="D28" s="155" t="s">
        <v>466</v>
      </c>
      <c r="E28" s="157" t="s">
        <v>356</v>
      </c>
      <c r="F28" s="157" t="s">
        <v>355</v>
      </c>
      <c r="G28" s="155" t="s">
        <v>437</v>
      </c>
      <c r="H28" s="155" t="s">
        <v>441</v>
      </c>
      <c r="I28" s="156">
        <v>4000</v>
      </c>
      <c r="J28" s="156">
        <v>375</v>
      </c>
      <c r="K28" s="156">
        <v>10.666666666666666</v>
      </c>
      <c r="L28" s="155" t="s">
        <v>465</v>
      </c>
      <c r="M28" s="158"/>
      <c r="N28" s="158"/>
      <c r="O28" s="162">
        <v>3.1666666666666669E-2</v>
      </c>
      <c r="P28" s="162">
        <v>0.33777777777777779</v>
      </c>
      <c r="Q28" s="156">
        <v>3.1666666666666669E-2</v>
      </c>
      <c r="R28" s="156">
        <v>0.33777777777777779</v>
      </c>
      <c r="S28" s="159"/>
      <c r="T28" s="155" t="s">
        <v>439</v>
      </c>
      <c r="U28" s="155" t="s">
        <v>446</v>
      </c>
      <c r="V28" s="163">
        <v>25324</v>
      </c>
      <c r="W28" s="155" t="s">
        <v>219</v>
      </c>
      <c r="X28" s="155" t="s">
        <v>219</v>
      </c>
      <c r="Y28" s="161"/>
      <c r="Z28" s="155" t="s">
        <v>219</v>
      </c>
      <c r="AA28" s="155" t="s">
        <v>219</v>
      </c>
      <c r="AB28" s="161"/>
      <c r="AC28" s="155" t="s">
        <v>219</v>
      </c>
      <c r="AD28" s="155" t="s">
        <v>219</v>
      </c>
      <c r="AE28" s="161"/>
      <c r="AF28" s="155" t="s">
        <v>219</v>
      </c>
      <c r="AG28" s="155" t="s">
        <v>219</v>
      </c>
      <c r="AH28" s="161"/>
      <c r="AI28" s="155" t="s">
        <v>219</v>
      </c>
      <c r="AJ28" s="155" t="s">
        <v>219</v>
      </c>
      <c r="AK28" s="161"/>
      <c r="AL28" s="155" t="s">
        <v>219</v>
      </c>
      <c r="AM28" s="155" t="s">
        <v>219</v>
      </c>
      <c r="AN28" s="161"/>
      <c r="AO28" s="155" t="s">
        <v>219</v>
      </c>
      <c r="AP28" s="155" t="s">
        <v>219</v>
      </c>
      <c r="AQ28" s="161"/>
      <c r="AR28" s="155" t="s">
        <v>219</v>
      </c>
      <c r="AS28" s="155" t="s">
        <v>219</v>
      </c>
      <c r="AT28" s="161"/>
      <c r="AU28" s="155" t="s">
        <v>219</v>
      </c>
      <c r="AV28" s="155" t="s">
        <v>219</v>
      </c>
      <c r="AW28" s="161"/>
      <c r="AX28" s="155" t="s">
        <v>219</v>
      </c>
      <c r="AY28" s="155" t="s">
        <v>219</v>
      </c>
      <c r="AZ28" s="161"/>
      <c r="BA28" s="155" t="s">
        <v>219</v>
      </c>
      <c r="BB28" s="155" t="s">
        <v>219</v>
      </c>
      <c r="BC28" s="161"/>
    </row>
    <row r="29" spans="1:55">
      <c r="A29" s="155" t="str">
        <f t="shared" si="3"/>
        <v>2517_4</v>
      </c>
      <c r="B29" s="156">
        <v>2517</v>
      </c>
      <c r="C29" s="155" t="s">
        <v>347</v>
      </c>
      <c r="D29" s="155" t="s">
        <v>468</v>
      </c>
      <c r="E29" s="157" t="s">
        <v>349</v>
      </c>
      <c r="F29" s="157" t="s">
        <v>348</v>
      </c>
      <c r="G29" s="155" t="s">
        <v>437</v>
      </c>
      <c r="H29" s="155" t="s">
        <v>438</v>
      </c>
      <c r="I29" s="156">
        <v>1850</v>
      </c>
      <c r="J29" s="156">
        <v>190</v>
      </c>
      <c r="K29" s="156">
        <v>9.7368421052631575</v>
      </c>
      <c r="L29" s="155" t="s">
        <v>469</v>
      </c>
      <c r="M29" s="156">
        <v>3.2074061720536964E-2</v>
      </c>
      <c r="N29" s="156">
        <v>0.31230007464733361</v>
      </c>
      <c r="O29" s="158"/>
      <c r="P29" s="158"/>
      <c r="Q29" s="156">
        <v>3.2074061720536964E-2</v>
      </c>
      <c r="R29" s="156">
        <v>0.31230007464733361</v>
      </c>
      <c r="S29" s="159"/>
      <c r="T29" s="155" t="s">
        <v>439</v>
      </c>
      <c r="U29" s="155" t="s">
        <v>440</v>
      </c>
      <c r="V29" s="163">
        <v>22221</v>
      </c>
      <c r="W29" s="155" t="s">
        <v>219</v>
      </c>
      <c r="X29" s="155" t="s">
        <v>219</v>
      </c>
      <c r="Y29" s="161"/>
      <c r="Z29" s="155" t="s">
        <v>219</v>
      </c>
      <c r="AA29" s="155" t="s">
        <v>219</v>
      </c>
      <c r="AB29" s="161"/>
      <c r="AC29" s="155" t="s">
        <v>219</v>
      </c>
      <c r="AD29" s="155" t="s">
        <v>219</v>
      </c>
      <c r="AE29" s="161"/>
      <c r="AF29" s="155" t="s">
        <v>219</v>
      </c>
      <c r="AG29" s="155" t="s">
        <v>219</v>
      </c>
      <c r="AH29" s="161"/>
      <c r="AI29" s="155" t="s">
        <v>219</v>
      </c>
      <c r="AJ29" s="155" t="s">
        <v>219</v>
      </c>
      <c r="AK29" s="161"/>
      <c r="AL29" s="155" t="s">
        <v>219</v>
      </c>
      <c r="AM29" s="155" t="s">
        <v>219</v>
      </c>
      <c r="AN29" s="161"/>
      <c r="AO29" s="155" t="s">
        <v>219</v>
      </c>
      <c r="AP29" s="155" t="s">
        <v>219</v>
      </c>
      <c r="AQ29" s="161"/>
      <c r="AR29" s="155" t="s">
        <v>219</v>
      </c>
      <c r="AS29" s="155" t="s">
        <v>219</v>
      </c>
      <c r="AT29" s="161"/>
      <c r="AU29" s="155" t="s">
        <v>219</v>
      </c>
      <c r="AV29" s="155" t="s">
        <v>219</v>
      </c>
      <c r="AW29" s="161"/>
      <c r="AX29" s="155" t="s">
        <v>219</v>
      </c>
      <c r="AY29" s="155" t="s">
        <v>219</v>
      </c>
      <c r="AZ29" s="161"/>
      <c r="BA29" s="155" t="s">
        <v>219</v>
      </c>
      <c r="BB29" s="155" t="s">
        <v>219</v>
      </c>
      <c r="BC29" s="161"/>
    </row>
    <row r="30" spans="1:55">
      <c r="A30" s="155" t="str">
        <f t="shared" si="3"/>
        <v>619_PRV4</v>
      </c>
      <c r="B30" s="156">
        <v>619</v>
      </c>
      <c r="C30" s="155" t="s">
        <v>365</v>
      </c>
      <c r="D30" s="155" t="s">
        <v>466</v>
      </c>
      <c r="E30" s="157" t="s">
        <v>367</v>
      </c>
      <c r="F30" s="157" t="s">
        <v>366</v>
      </c>
      <c r="G30" s="155" t="s">
        <v>437</v>
      </c>
      <c r="H30" s="155" t="s">
        <v>441</v>
      </c>
      <c r="I30" s="156">
        <v>3260</v>
      </c>
      <c r="J30" s="156">
        <v>289</v>
      </c>
      <c r="K30" s="156">
        <v>11.280276816608996</v>
      </c>
      <c r="L30" s="155" t="s">
        <v>465</v>
      </c>
      <c r="M30" s="158"/>
      <c r="N30" s="158"/>
      <c r="O30" s="156">
        <v>3.2500000000000001E-2</v>
      </c>
      <c r="P30" s="156">
        <v>0.3666089965397924</v>
      </c>
      <c r="Q30" s="156">
        <v>3.2500000000000001E-2</v>
      </c>
      <c r="R30" s="156">
        <v>0.3666089965397924</v>
      </c>
      <c r="S30" s="159"/>
      <c r="T30" s="155" t="s">
        <v>439</v>
      </c>
      <c r="U30" s="155" t="s">
        <v>446</v>
      </c>
      <c r="V30" s="163">
        <v>23071</v>
      </c>
      <c r="W30" s="155" t="s">
        <v>219</v>
      </c>
      <c r="X30" s="155" t="s">
        <v>219</v>
      </c>
      <c r="Y30" s="161"/>
      <c r="Z30" s="155" t="s">
        <v>219</v>
      </c>
      <c r="AA30" s="155" t="s">
        <v>219</v>
      </c>
      <c r="AB30" s="161"/>
      <c r="AC30" s="155" t="s">
        <v>219</v>
      </c>
      <c r="AD30" s="155" t="s">
        <v>219</v>
      </c>
      <c r="AE30" s="161"/>
      <c r="AF30" s="155" t="s">
        <v>219</v>
      </c>
      <c r="AG30" s="155" t="s">
        <v>219</v>
      </c>
      <c r="AH30" s="161"/>
      <c r="AI30" s="155" t="s">
        <v>219</v>
      </c>
      <c r="AJ30" s="155" t="s">
        <v>219</v>
      </c>
      <c r="AK30" s="161"/>
      <c r="AL30" s="155" t="s">
        <v>219</v>
      </c>
      <c r="AM30" s="155" t="s">
        <v>219</v>
      </c>
      <c r="AN30" s="161"/>
      <c r="AO30" s="155" t="s">
        <v>219</v>
      </c>
      <c r="AP30" s="155" t="s">
        <v>219</v>
      </c>
      <c r="AQ30" s="161"/>
      <c r="AR30" s="155" t="s">
        <v>219</v>
      </c>
      <c r="AS30" s="155" t="s">
        <v>219</v>
      </c>
      <c r="AT30" s="161"/>
      <c r="AU30" s="155" t="s">
        <v>219</v>
      </c>
      <c r="AV30" s="155" t="s">
        <v>219</v>
      </c>
      <c r="AW30" s="161"/>
      <c r="AX30" s="155" t="s">
        <v>219</v>
      </c>
      <c r="AY30" s="155" t="s">
        <v>219</v>
      </c>
      <c r="AZ30" s="161"/>
      <c r="BA30" s="155" t="s">
        <v>219</v>
      </c>
      <c r="BB30" s="155" t="s">
        <v>219</v>
      </c>
      <c r="BC30" s="161"/>
    </row>
    <row r="31" spans="1:55">
      <c r="A31" s="155" t="str">
        <f t="shared" si="3"/>
        <v>619_PRV3</v>
      </c>
      <c r="B31" s="156">
        <v>619</v>
      </c>
      <c r="C31" s="155" t="s">
        <v>365</v>
      </c>
      <c r="D31" s="155" t="s">
        <v>466</v>
      </c>
      <c r="E31" s="157" t="s">
        <v>375</v>
      </c>
      <c r="F31" s="157" t="s">
        <v>374</v>
      </c>
      <c r="G31" s="155" t="s">
        <v>437</v>
      </c>
      <c r="H31" s="155" t="s">
        <v>441</v>
      </c>
      <c r="I31" s="156">
        <v>3260</v>
      </c>
      <c r="J31" s="156">
        <v>289</v>
      </c>
      <c r="K31" s="156">
        <v>11.280276816608996</v>
      </c>
      <c r="L31" s="155" t="s">
        <v>465</v>
      </c>
      <c r="M31" s="158"/>
      <c r="N31" s="158"/>
      <c r="O31" s="162">
        <v>3.4833333333333334E-2</v>
      </c>
      <c r="P31" s="162">
        <v>0.39292964244521339</v>
      </c>
      <c r="Q31" s="156">
        <v>3.4833333333333334E-2</v>
      </c>
      <c r="R31" s="156">
        <v>0.39292964244521339</v>
      </c>
      <c r="S31" s="159"/>
      <c r="T31" s="155" t="s">
        <v>439</v>
      </c>
      <c r="U31" s="155" t="s">
        <v>446</v>
      </c>
      <c r="V31" s="160">
        <v>22767</v>
      </c>
      <c r="W31" s="155" t="s">
        <v>219</v>
      </c>
      <c r="X31" s="155" t="s">
        <v>219</v>
      </c>
      <c r="Y31" s="161"/>
      <c r="Z31" s="155" t="s">
        <v>219</v>
      </c>
      <c r="AA31" s="155" t="s">
        <v>219</v>
      </c>
      <c r="AB31" s="161"/>
      <c r="AC31" s="155" t="s">
        <v>219</v>
      </c>
      <c r="AD31" s="155" t="s">
        <v>219</v>
      </c>
      <c r="AE31" s="161"/>
      <c r="AF31" s="155" t="s">
        <v>219</v>
      </c>
      <c r="AG31" s="155" t="s">
        <v>219</v>
      </c>
      <c r="AH31" s="161"/>
      <c r="AI31" s="155" t="s">
        <v>219</v>
      </c>
      <c r="AJ31" s="155" t="s">
        <v>219</v>
      </c>
      <c r="AK31" s="161"/>
      <c r="AL31" s="155" t="s">
        <v>219</v>
      </c>
      <c r="AM31" s="155" t="s">
        <v>219</v>
      </c>
      <c r="AN31" s="161"/>
      <c r="AO31" s="155" t="s">
        <v>219</v>
      </c>
      <c r="AP31" s="155" t="s">
        <v>219</v>
      </c>
      <c r="AQ31" s="161"/>
      <c r="AR31" s="155" t="s">
        <v>219</v>
      </c>
      <c r="AS31" s="155" t="s">
        <v>219</v>
      </c>
      <c r="AT31" s="161"/>
      <c r="AU31" s="155" t="s">
        <v>219</v>
      </c>
      <c r="AV31" s="155" t="s">
        <v>219</v>
      </c>
      <c r="AW31" s="161"/>
      <c r="AX31" s="155" t="s">
        <v>219</v>
      </c>
      <c r="AY31" s="155" t="s">
        <v>219</v>
      </c>
      <c r="AZ31" s="161"/>
      <c r="BA31" s="155" t="s">
        <v>219</v>
      </c>
      <c r="BB31" s="155" t="s">
        <v>219</v>
      </c>
      <c r="BC31" s="161"/>
    </row>
    <row r="32" spans="1:55">
      <c r="A32" s="155" t="str">
        <f t="shared" si="3"/>
        <v>8054_1</v>
      </c>
      <c r="B32" s="156">
        <v>8054</v>
      </c>
      <c r="C32" s="155" t="s">
        <v>363</v>
      </c>
      <c r="D32" s="155" t="s">
        <v>472</v>
      </c>
      <c r="E32" s="157" t="s">
        <v>353</v>
      </c>
      <c r="F32" s="157" t="s">
        <v>352</v>
      </c>
      <c r="G32" s="155" t="s">
        <v>437</v>
      </c>
      <c r="H32" s="155" t="s">
        <v>447</v>
      </c>
      <c r="I32" s="156">
        <v>6650</v>
      </c>
      <c r="J32" s="156">
        <v>737</v>
      </c>
      <c r="K32" s="156">
        <v>9.023066485753052</v>
      </c>
      <c r="L32" s="155" t="s">
        <v>465</v>
      </c>
      <c r="M32" s="162">
        <v>4.1632282948415276E-2</v>
      </c>
      <c r="N32" s="162">
        <v>0.37565085699723416</v>
      </c>
      <c r="O32" s="158"/>
      <c r="P32" s="158"/>
      <c r="Q32" s="156">
        <v>4.1632282948415276E-2</v>
      </c>
      <c r="R32" s="156">
        <v>0.37565085699723416</v>
      </c>
      <c r="S32" s="159"/>
      <c r="T32" s="155" t="s">
        <v>219</v>
      </c>
      <c r="U32" s="155" t="s">
        <v>219</v>
      </c>
      <c r="V32" s="161"/>
      <c r="W32" s="155" t="s">
        <v>219</v>
      </c>
      <c r="X32" s="155" t="s">
        <v>219</v>
      </c>
      <c r="Y32" s="161"/>
      <c r="Z32" s="155" t="s">
        <v>219</v>
      </c>
      <c r="AA32" s="155" t="s">
        <v>219</v>
      </c>
      <c r="AB32" s="161"/>
      <c r="AC32" s="155" t="s">
        <v>219</v>
      </c>
      <c r="AD32" s="155" t="s">
        <v>219</v>
      </c>
      <c r="AE32" s="161"/>
      <c r="AF32" s="155" t="s">
        <v>219</v>
      </c>
      <c r="AG32" s="155" t="s">
        <v>219</v>
      </c>
      <c r="AH32" s="161"/>
      <c r="AI32" s="155" t="s">
        <v>219</v>
      </c>
      <c r="AJ32" s="155" t="s">
        <v>219</v>
      </c>
      <c r="AK32" s="161"/>
      <c r="AL32" s="155" t="s">
        <v>219</v>
      </c>
      <c r="AM32" s="155" t="s">
        <v>219</v>
      </c>
      <c r="AN32" s="161"/>
      <c r="AO32" s="155" t="s">
        <v>219</v>
      </c>
      <c r="AP32" s="155" t="s">
        <v>219</v>
      </c>
      <c r="AQ32" s="161"/>
      <c r="AR32" s="155" t="s">
        <v>219</v>
      </c>
      <c r="AS32" s="155" t="s">
        <v>219</v>
      </c>
      <c r="AT32" s="161"/>
      <c r="AU32" s="155" t="s">
        <v>219</v>
      </c>
      <c r="AV32" s="155" t="s">
        <v>219</v>
      </c>
      <c r="AW32" s="161"/>
      <c r="AX32" s="155" t="s">
        <v>219</v>
      </c>
      <c r="AY32" s="155" t="s">
        <v>219</v>
      </c>
      <c r="AZ32" s="161"/>
      <c r="BA32" s="155" t="s">
        <v>219</v>
      </c>
      <c r="BB32" s="155" t="s">
        <v>219</v>
      </c>
      <c r="BC32" s="161"/>
    </row>
    <row r="33" spans="1:55">
      <c r="A33" s="155" t="str">
        <f t="shared" si="3"/>
        <v>715_1</v>
      </c>
      <c r="B33" s="156">
        <v>715</v>
      </c>
      <c r="C33" s="155" t="s">
        <v>382</v>
      </c>
      <c r="D33" s="155" t="s">
        <v>473</v>
      </c>
      <c r="E33" s="157" t="s">
        <v>383</v>
      </c>
      <c r="F33" s="157" t="s">
        <v>352</v>
      </c>
      <c r="G33" s="155" t="s">
        <v>437</v>
      </c>
      <c r="H33" s="155" t="s">
        <v>441</v>
      </c>
      <c r="I33" s="156">
        <v>450</v>
      </c>
      <c r="J33" s="156">
        <v>45</v>
      </c>
      <c r="K33" s="156">
        <v>10</v>
      </c>
      <c r="L33" s="155" t="s">
        <v>465</v>
      </c>
      <c r="M33" s="156">
        <v>5.0922762810747944E-2</v>
      </c>
      <c r="N33" s="156">
        <v>0.50922762810747946</v>
      </c>
      <c r="O33" s="161"/>
      <c r="P33" s="161"/>
      <c r="Q33" s="156">
        <v>5.0922762810747944E-2</v>
      </c>
      <c r="R33" s="156">
        <v>0.50922762810747946</v>
      </c>
      <c r="S33" s="159"/>
      <c r="T33" s="155" t="s">
        <v>219</v>
      </c>
      <c r="U33" s="155" t="s">
        <v>219</v>
      </c>
      <c r="V33" s="161"/>
      <c r="W33" s="155" t="s">
        <v>219</v>
      </c>
      <c r="X33" s="155" t="s">
        <v>219</v>
      </c>
      <c r="Y33" s="161"/>
      <c r="Z33" s="155" t="s">
        <v>219</v>
      </c>
      <c r="AA33" s="155" t="s">
        <v>219</v>
      </c>
      <c r="AB33" s="161"/>
      <c r="AC33" s="155" t="s">
        <v>219</v>
      </c>
      <c r="AD33" s="155" t="s">
        <v>219</v>
      </c>
      <c r="AE33" s="161"/>
      <c r="AF33" s="155" t="s">
        <v>219</v>
      </c>
      <c r="AG33" s="155" t="s">
        <v>219</v>
      </c>
      <c r="AH33" s="161"/>
      <c r="AI33" s="155" t="s">
        <v>219</v>
      </c>
      <c r="AJ33" s="155" t="s">
        <v>219</v>
      </c>
      <c r="AK33" s="161"/>
      <c r="AL33" s="155" t="s">
        <v>219</v>
      </c>
      <c r="AM33" s="155" t="s">
        <v>219</v>
      </c>
      <c r="AN33" s="161"/>
      <c r="AO33" s="155" t="s">
        <v>219</v>
      </c>
      <c r="AP33" s="155" t="s">
        <v>219</v>
      </c>
      <c r="AQ33" s="161"/>
      <c r="AR33" s="155" t="s">
        <v>219</v>
      </c>
      <c r="AS33" s="155" t="s">
        <v>219</v>
      </c>
      <c r="AT33" s="161"/>
      <c r="AU33" s="155" t="s">
        <v>219</v>
      </c>
      <c r="AV33" s="155" t="s">
        <v>219</v>
      </c>
      <c r="AW33" s="161"/>
      <c r="AX33" s="155" t="s">
        <v>219</v>
      </c>
      <c r="AY33" s="155" t="s">
        <v>219</v>
      </c>
      <c r="AZ33" s="161"/>
      <c r="BA33" s="155" t="s">
        <v>219</v>
      </c>
      <c r="BB33" s="155" t="s">
        <v>219</v>
      </c>
      <c r="BC33" s="16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1:AS32"/>
  <sheetViews>
    <sheetView workbookViewId="0">
      <pane xSplit="10" ySplit="2" topLeftCell="K3" activePane="bottomRight" state="frozen"/>
      <selection activeCell="B34" sqref="B34"/>
      <selection pane="topRight" activeCell="B34" sqref="B34"/>
      <selection pane="bottomLeft" activeCell="B34" sqref="B34"/>
      <selection pane="bottomRight" activeCell="B34" sqref="B34"/>
    </sheetView>
  </sheetViews>
  <sheetFormatPr defaultRowHeight="15"/>
  <cols>
    <col min="1" max="1" width="12.7109375" bestFit="1" customWidth="1"/>
    <col min="10" max="10" width="16.140625" customWidth="1"/>
    <col min="14" max="14" width="22.85546875" bestFit="1" customWidth="1"/>
    <col min="16" max="17" width="10.140625" bestFit="1" customWidth="1"/>
    <col min="27" max="27" width="41.5703125" customWidth="1"/>
    <col min="37" max="37" width="12.85546875" customWidth="1"/>
    <col min="40" max="40" width="18.140625" customWidth="1"/>
    <col min="41" max="41" width="9.140625" style="350"/>
    <col min="42" max="42" width="11.28515625" style="350" customWidth="1"/>
    <col min="43" max="43" width="9.140625" style="350"/>
    <col min="44" max="44" width="10.7109375" style="350" customWidth="1"/>
    <col min="45" max="45" width="18.42578125" customWidth="1"/>
  </cols>
  <sheetData>
    <row r="1" spans="1:45" s="177" customFormat="1" ht="15.75" customHeight="1">
      <c r="H1" s="177" t="s">
        <v>898</v>
      </c>
    </row>
    <row r="2" spans="1:45" s="188" customFormat="1" ht="61.5" customHeight="1">
      <c r="A2" s="320" t="s">
        <v>384</v>
      </c>
      <c r="B2" s="320" t="s">
        <v>573</v>
      </c>
      <c r="C2" s="320" t="s">
        <v>574</v>
      </c>
      <c r="D2" s="320" t="s">
        <v>575</v>
      </c>
      <c r="E2" s="320" t="s">
        <v>576</v>
      </c>
      <c r="F2" s="320" t="s">
        <v>577</v>
      </c>
      <c r="G2" s="320" t="s">
        <v>578</v>
      </c>
      <c r="H2" s="321" t="s">
        <v>579</v>
      </c>
      <c r="I2" s="321" t="s">
        <v>183</v>
      </c>
      <c r="J2" s="321" t="s">
        <v>580</v>
      </c>
      <c r="K2" s="321" t="s">
        <v>581</v>
      </c>
      <c r="L2" s="321" t="s">
        <v>582</v>
      </c>
      <c r="M2" s="321" t="s">
        <v>583</v>
      </c>
      <c r="N2" s="321" t="s">
        <v>584</v>
      </c>
      <c r="O2" s="321" t="s">
        <v>585</v>
      </c>
      <c r="P2" s="321" t="s">
        <v>586</v>
      </c>
      <c r="Q2" s="321" t="s">
        <v>587</v>
      </c>
      <c r="R2" s="321" t="s">
        <v>588</v>
      </c>
      <c r="S2" s="321" t="s">
        <v>589</v>
      </c>
      <c r="T2" s="321" t="s">
        <v>590</v>
      </c>
      <c r="U2" s="322" t="s">
        <v>591</v>
      </c>
      <c r="V2" s="322" t="s">
        <v>592</v>
      </c>
      <c r="W2" s="321" t="s">
        <v>593</v>
      </c>
      <c r="X2" s="321" t="s">
        <v>594</v>
      </c>
      <c r="Y2" s="321" t="s">
        <v>595</v>
      </c>
      <c r="Z2" s="322" t="s">
        <v>596</v>
      </c>
      <c r="AA2" s="322" t="s">
        <v>597</v>
      </c>
      <c r="AB2" s="322" t="s">
        <v>598</v>
      </c>
      <c r="AC2" s="322" t="s">
        <v>599</v>
      </c>
      <c r="AD2" s="321" t="s">
        <v>600</v>
      </c>
      <c r="AE2" s="321" t="s">
        <v>601</v>
      </c>
      <c r="AF2" s="321" t="s">
        <v>602</v>
      </c>
      <c r="AG2" s="321" t="s">
        <v>603</v>
      </c>
      <c r="AH2" s="321" t="s">
        <v>604</v>
      </c>
      <c r="AI2" s="321" t="s">
        <v>605</v>
      </c>
      <c r="AJ2" s="321" t="s">
        <v>606</v>
      </c>
      <c r="AK2" s="321" t="s">
        <v>607</v>
      </c>
      <c r="AL2" s="321" t="s">
        <v>608</v>
      </c>
      <c r="AM2" s="321" t="s">
        <v>609</v>
      </c>
      <c r="AN2" s="323" t="s">
        <v>610</v>
      </c>
      <c r="AO2" s="324" t="s">
        <v>611</v>
      </c>
      <c r="AP2" s="324" t="s">
        <v>612</v>
      </c>
      <c r="AQ2" s="324" t="s">
        <v>613</v>
      </c>
      <c r="AR2" s="324" t="s">
        <v>614</v>
      </c>
      <c r="AS2" s="324" t="s">
        <v>615</v>
      </c>
    </row>
    <row r="3" spans="1:45" s="195" customFormat="1">
      <c r="A3" s="195" t="s">
        <v>624</v>
      </c>
      <c r="B3" s="195" t="s">
        <v>626</v>
      </c>
      <c r="C3" s="195" t="s">
        <v>623</v>
      </c>
      <c r="D3" s="195">
        <f>AJ3</f>
        <v>4.0000000000000001E-3</v>
      </c>
      <c r="E3" s="195" t="str">
        <f>AK3</f>
        <v>pound per million British Thermal Unit (lb/MMBtu)</v>
      </c>
      <c r="F3" s="195" t="s">
        <v>489</v>
      </c>
      <c r="H3" s="325">
        <v>1588</v>
      </c>
      <c r="I3" s="326" t="s">
        <v>199</v>
      </c>
      <c r="J3" s="326" t="s">
        <v>209</v>
      </c>
      <c r="K3" s="326" t="s">
        <v>628</v>
      </c>
      <c r="L3" s="325">
        <v>3</v>
      </c>
      <c r="M3" s="325">
        <v>1</v>
      </c>
      <c r="N3" s="326" t="s">
        <v>629</v>
      </c>
      <c r="O3" s="326" t="s">
        <v>352</v>
      </c>
      <c r="P3" s="327">
        <v>38706.375</v>
      </c>
      <c r="Q3" s="327">
        <v>38706.423611111109</v>
      </c>
      <c r="R3" s="328"/>
      <c r="S3" s="328"/>
      <c r="T3" s="328"/>
      <c r="U3" s="328"/>
      <c r="V3" s="325">
        <v>5.94</v>
      </c>
      <c r="W3" s="328"/>
      <c r="X3" s="328"/>
      <c r="Y3" s="326" t="s">
        <v>219</v>
      </c>
      <c r="Z3" s="328"/>
      <c r="AA3" s="326" t="s">
        <v>219</v>
      </c>
      <c r="AB3" s="325" t="b">
        <v>0</v>
      </c>
      <c r="AC3" s="328"/>
      <c r="AD3" s="328"/>
      <c r="AE3" s="326" t="s">
        <v>219</v>
      </c>
      <c r="AF3" s="328"/>
      <c r="AG3" s="326" t="s">
        <v>219</v>
      </c>
      <c r="AH3" s="325" t="b">
        <v>0</v>
      </c>
      <c r="AI3" s="328"/>
      <c r="AJ3" s="325">
        <v>4.0000000000000001E-3</v>
      </c>
      <c r="AK3" s="326" t="s">
        <v>627</v>
      </c>
      <c r="AL3" s="325" t="b">
        <v>0</v>
      </c>
      <c r="AM3" s="328"/>
      <c r="AN3" s="326" t="s">
        <v>219</v>
      </c>
      <c r="AO3" s="329"/>
      <c r="AP3" s="329"/>
      <c r="AQ3" s="329"/>
      <c r="AR3" s="329"/>
    </row>
    <row r="4" spans="1:45" s="195" customFormat="1">
      <c r="A4" s="195" t="s">
        <v>631</v>
      </c>
      <c r="B4" s="195" t="s">
        <v>626</v>
      </c>
      <c r="C4" s="195" t="s">
        <v>623</v>
      </c>
      <c r="D4" s="195">
        <f t="shared" ref="D4:E5" si="0">AJ4</f>
        <v>4.0000000000000001E-3</v>
      </c>
      <c r="E4" s="195" t="str">
        <f t="shared" si="0"/>
        <v>pound per million British Thermal Unit (lb/MMBtu)</v>
      </c>
      <c r="F4" s="195" t="s">
        <v>489</v>
      </c>
      <c r="H4" s="330">
        <v>1588</v>
      </c>
      <c r="I4" s="331" t="s">
        <v>199</v>
      </c>
      <c r="J4" s="331" t="s">
        <v>209</v>
      </c>
      <c r="K4" s="331" t="s">
        <v>628</v>
      </c>
      <c r="L4" s="330">
        <v>3</v>
      </c>
      <c r="M4" s="330">
        <v>1</v>
      </c>
      <c r="N4" s="331" t="s">
        <v>629</v>
      </c>
      <c r="O4" s="331" t="s">
        <v>232</v>
      </c>
      <c r="P4" s="332">
        <v>38706.454861111109</v>
      </c>
      <c r="Q4" s="332">
        <v>38706.503472222219</v>
      </c>
      <c r="R4" s="328"/>
      <c r="S4" s="328"/>
      <c r="T4" s="328"/>
      <c r="U4" s="328"/>
      <c r="V4" s="330">
        <v>5.98</v>
      </c>
      <c r="W4" s="328"/>
      <c r="X4" s="328"/>
      <c r="Y4" s="331" t="s">
        <v>219</v>
      </c>
      <c r="Z4" s="328"/>
      <c r="AA4" s="331" t="s">
        <v>219</v>
      </c>
      <c r="AB4" s="330" t="b">
        <v>0</v>
      </c>
      <c r="AC4" s="328"/>
      <c r="AD4" s="328"/>
      <c r="AE4" s="331" t="s">
        <v>219</v>
      </c>
      <c r="AF4" s="328"/>
      <c r="AG4" s="331" t="s">
        <v>219</v>
      </c>
      <c r="AH4" s="330" t="b">
        <v>0</v>
      </c>
      <c r="AI4" s="328"/>
      <c r="AJ4" s="330">
        <v>4.0000000000000001E-3</v>
      </c>
      <c r="AK4" s="331" t="s">
        <v>627</v>
      </c>
      <c r="AL4" s="330" t="b">
        <v>0</v>
      </c>
      <c r="AM4" s="328"/>
      <c r="AN4" s="331" t="s">
        <v>632</v>
      </c>
      <c r="AO4" s="329"/>
      <c r="AP4" s="329"/>
      <c r="AQ4" s="329"/>
      <c r="AR4" s="329"/>
    </row>
    <row r="5" spans="1:45" s="333" customFormat="1">
      <c r="A5" s="333" t="s">
        <v>633</v>
      </c>
      <c r="B5" s="333" t="s">
        <v>626</v>
      </c>
      <c r="C5" s="333" t="s">
        <v>623</v>
      </c>
      <c r="D5" s="333">
        <f t="shared" si="0"/>
        <v>5.0000000000000001E-3</v>
      </c>
      <c r="E5" s="333" t="str">
        <f t="shared" si="0"/>
        <v>pound per million British Thermal Unit (lb/MMBtu)</v>
      </c>
      <c r="F5" s="333" t="s">
        <v>489</v>
      </c>
      <c r="H5" s="334">
        <v>1588</v>
      </c>
      <c r="I5" s="335" t="s">
        <v>199</v>
      </c>
      <c r="J5" s="335" t="s">
        <v>209</v>
      </c>
      <c r="K5" s="335" t="s">
        <v>628</v>
      </c>
      <c r="L5" s="334">
        <v>3</v>
      </c>
      <c r="M5" s="334">
        <v>1</v>
      </c>
      <c r="N5" s="335" t="s">
        <v>629</v>
      </c>
      <c r="O5" s="335" t="s">
        <v>268</v>
      </c>
      <c r="P5" s="336">
        <v>38706.520833333336</v>
      </c>
      <c r="Q5" s="336">
        <v>38706.569444444445</v>
      </c>
      <c r="R5" s="337"/>
      <c r="S5" s="337"/>
      <c r="T5" s="337"/>
      <c r="U5" s="337"/>
      <c r="V5" s="334">
        <v>6.11</v>
      </c>
      <c r="W5" s="337"/>
      <c r="X5" s="337"/>
      <c r="Y5" s="335" t="s">
        <v>219</v>
      </c>
      <c r="Z5" s="337"/>
      <c r="AA5" s="335" t="s">
        <v>219</v>
      </c>
      <c r="AB5" s="334" t="b">
        <v>0</v>
      </c>
      <c r="AC5" s="337"/>
      <c r="AD5" s="337"/>
      <c r="AE5" s="335" t="s">
        <v>219</v>
      </c>
      <c r="AF5" s="337"/>
      <c r="AG5" s="335" t="s">
        <v>219</v>
      </c>
      <c r="AH5" s="334" t="b">
        <v>0</v>
      </c>
      <c r="AI5" s="337"/>
      <c r="AJ5" s="334">
        <v>5.0000000000000001E-3</v>
      </c>
      <c r="AK5" s="335" t="s">
        <v>627</v>
      </c>
      <c r="AL5" s="334" t="b">
        <v>0</v>
      </c>
      <c r="AM5" s="337"/>
      <c r="AN5" s="335" t="s">
        <v>219</v>
      </c>
      <c r="AO5" s="338"/>
      <c r="AP5" s="338"/>
      <c r="AQ5" s="338"/>
      <c r="AR5" s="338"/>
    </row>
    <row r="6" spans="1:45" s="329" customFormat="1">
      <c r="H6" s="339">
        <v>1588</v>
      </c>
      <c r="I6" s="340" t="s">
        <v>199</v>
      </c>
      <c r="J6" s="340"/>
      <c r="K6" s="340"/>
      <c r="L6" s="339"/>
      <c r="M6" s="339"/>
      <c r="N6" s="340" t="s">
        <v>629</v>
      </c>
      <c r="O6" s="340">
        <v>1</v>
      </c>
      <c r="P6" s="341">
        <v>38706.375</v>
      </c>
      <c r="Q6" s="341">
        <v>38706.423611111109</v>
      </c>
      <c r="R6" s="342"/>
      <c r="S6" s="342"/>
      <c r="T6" s="342"/>
      <c r="U6" s="342" t="s">
        <v>899</v>
      </c>
      <c r="V6" s="339">
        <v>5.94</v>
      </c>
      <c r="W6" s="342"/>
      <c r="X6" s="342"/>
      <c r="Y6" s="340"/>
      <c r="Z6" s="342" t="s">
        <v>899</v>
      </c>
      <c r="AA6" s="340"/>
      <c r="AB6" s="339"/>
      <c r="AC6" s="342"/>
      <c r="AD6" s="342"/>
      <c r="AE6" s="340"/>
      <c r="AF6" s="342"/>
      <c r="AG6" s="340"/>
      <c r="AH6" s="339"/>
      <c r="AI6" s="342"/>
      <c r="AJ6" s="339">
        <v>4.0000000000000001E-3</v>
      </c>
      <c r="AK6" s="340" t="s">
        <v>627</v>
      </c>
      <c r="AL6" s="339"/>
      <c r="AM6" s="342"/>
      <c r="AN6" s="340"/>
      <c r="AO6" s="329" t="s">
        <v>503</v>
      </c>
    </row>
    <row r="7" spans="1:45" s="329" customFormat="1">
      <c r="H7" s="339">
        <v>1588</v>
      </c>
      <c r="I7" s="340" t="s">
        <v>199</v>
      </c>
      <c r="J7" s="340"/>
      <c r="K7" s="340"/>
      <c r="L7" s="339"/>
      <c r="M7" s="339"/>
      <c r="N7" s="340" t="s">
        <v>629</v>
      </c>
      <c r="O7" s="340">
        <v>2</v>
      </c>
      <c r="P7" s="341">
        <v>38706.454861111109</v>
      </c>
      <c r="Q7" s="341">
        <v>38706.503472222219</v>
      </c>
      <c r="R7" s="342"/>
      <c r="S7" s="342"/>
      <c r="T7" s="342"/>
      <c r="U7" s="342" t="s">
        <v>899</v>
      </c>
      <c r="V7" s="339">
        <v>5.98</v>
      </c>
      <c r="W7" s="342"/>
      <c r="X7" s="342"/>
      <c r="Y7" s="340"/>
      <c r="Z7" s="342" t="s">
        <v>899</v>
      </c>
      <c r="AA7" s="340"/>
      <c r="AB7" s="339"/>
      <c r="AC7" s="342"/>
      <c r="AD7" s="342"/>
      <c r="AE7" s="340"/>
      <c r="AF7" s="342"/>
      <c r="AG7" s="340"/>
      <c r="AH7" s="339"/>
      <c r="AI7" s="342"/>
      <c r="AJ7" s="339">
        <v>4.0000000000000001E-3</v>
      </c>
      <c r="AK7" s="340" t="s">
        <v>627</v>
      </c>
      <c r="AL7" s="339"/>
      <c r="AM7" s="342"/>
      <c r="AN7" s="340" t="s">
        <v>632</v>
      </c>
      <c r="AO7" s="329" t="s">
        <v>503</v>
      </c>
    </row>
    <row r="8" spans="1:45" s="329" customFormat="1">
      <c r="H8" s="339">
        <v>1588</v>
      </c>
      <c r="I8" s="340" t="s">
        <v>199</v>
      </c>
      <c r="J8" s="340"/>
      <c r="K8" s="340"/>
      <c r="L8" s="339"/>
      <c r="M8" s="339"/>
      <c r="N8" s="340" t="s">
        <v>629</v>
      </c>
      <c r="O8" s="340">
        <v>3</v>
      </c>
      <c r="P8" s="341">
        <v>38706.520833333336</v>
      </c>
      <c r="Q8" s="343">
        <v>38706.5625</v>
      </c>
      <c r="R8" s="342"/>
      <c r="S8" s="342"/>
      <c r="T8" s="342"/>
      <c r="U8" s="342" t="s">
        <v>899</v>
      </c>
      <c r="V8" s="339">
        <v>6.11</v>
      </c>
      <c r="W8" s="342"/>
      <c r="X8" s="342"/>
      <c r="Y8" s="340"/>
      <c r="Z8" s="342" t="s">
        <v>899</v>
      </c>
      <c r="AA8" s="340"/>
      <c r="AB8" s="339"/>
      <c r="AC8" s="342"/>
      <c r="AD8" s="342"/>
      <c r="AE8" s="340"/>
      <c r="AF8" s="342"/>
      <c r="AG8" s="340"/>
      <c r="AH8" s="339"/>
      <c r="AI8" s="342"/>
      <c r="AJ8" s="339">
        <v>5.0000000000000001E-3</v>
      </c>
      <c r="AK8" s="340" t="s">
        <v>627</v>
      </c>
      <c r="AL8" s="339"/>
      <c r="AM8" s="342"/>
      <c r="AN8" s="340"/>
      <c r="AO8" s="329" t="s">
        <v>503</v>
      </c>
    </row>
    <row r="9" spans="1:45" s="195" customFormat="1">
      <c r="H9" s="344"/>
      <c r="I9" s="345"/>
      <c r="J9" s="345"/>
      <c r="K9" s="345"/>
      <c r="L9" s="344"/>
      <c r="M9" s="344"/>
      <c r="N9" s="345"/>
      <c r="O9" s="345"/>
      <c r="P9" s="346"/>
      <c r="Q9" s="346"/>
      <c r="R9" s="328"/>
      <c r="S9" s="328"/>
      <c r="T9" s="328"/>
      <c r="U9" s="328"/>
      <c r="V9" s="344"/>
      <c r="W9" s="328"/>
      <c r="X9" s="328"/>
      <c r="Y9" s="345"/>
      <c r="Z9" s="328"/>
      <c r="AA9" s="345"/>
      <c r="AB9" s="344"/>
      <c r="AC9" s="328"/>
      <c r="AD9" s="328"/>
      <c r="AE9" s="345"/>
      <c r="AF9" s="328"/>
      <c r="AG9" s="345"/>
      <c r="AH9" s="344"/>
      <c r="AI9" s="328"/>
      <c r="AJ9" s="344"/>
      <c r="AK9" s="345"/>
      <c r="AL9" s="344"/>
      <c r="AM9" s="328"/>
      <c r="AN9" s="345"/>
      <c r="AO9" s="329"/>
      <c r="AP9" s="329"/>
      <c r="AQ9" s="329"/>
      <c r="AR9" s="329"/>
    </row>
    <row r="10" spans="1:45" s="195" customFormat="1">
      <c r="A10" s="195" t="s">
        <v>634</v>
      </c>
      <c r="B10" s="195" t="s">
        <v>626</v>
      </c>
      <c r="C10" s="195" t="s">
        <v>623</v>
      </c>
      <c r="D10" s="195">
        <f>AJ10</f>
        <v>0.01</v>
      </c>
      <c r="E10" s="195" t="str">
        <f>AK10</f>
        <v>pound per million British Thermal Unit (lb/MMBtu)</v>
      </c>
      <c r="F10" s="195" t="s">
        <v>489</v>
      </c>
      <c r="H10" s="325">
        <v>1588</v>
      </c>
      <c r="I10" s="326" t="s">
        <v>199</v>
      </c>
      <c r="J10" s="326" t="s">
        <v>210</v>
      </c>
      <c r="K10" s="326" t="s">
        <v>628</v>
      </c>
      <c r="L10" s="325">
        <v>3</v>
      </c>
      <c r="M10" s="325">
        <v>1</v>
      </c>
      <c r="N10" s="326" t="s">
        <v>629</v>
      </c>
      <c r="O10" s="326" t="s">
        <v>352</v>
      </c>
      <c r="P10" s="327">
        <v>38916.375</v>
      </c>
      <c r="Q10" s="327">
        <v>38916.423611111109</v>
      </c>
      <c r="R10" s="328"/>
      <c r="S10" s="328"/>
      <c r="T10" s="328"/>
      <c r="U10" s="328"/>
      <c r="V10" s="325">
        <v>5.62</v>
      </c>
      <c r="W10" s="328"/>
      <c r="X10" s="328"/>
      <c r="Y10" s="326" t="s">
        <v>219</v>
      </c>
      <c r="Z10" s="328"/>
      <c r="AA10" s="326" t="s">
        <v>219</v>
      </c>
      <c r="AB10" s="325" t="b">
        <v>0</v>
      </c>
      <c r="AC10" s="328"/>
      <c r="AD10" s="328"/>
      <c r="AE10" s="326" t="s">
        <v>219</v>
      </c>
      <c r="AF10" s="328"/>
      <c r="AG10" s="326" t="s">
        <v>219</v>
      </c>
      <c r="AH10" s="325" t="b">
        <v>0</v>
      </c>
      <c r="AI10" s="328"/>
      <c r="AJ10" s="325">
        <v>0.01</v>
      </c>
      <c r="AK10" s="326" t="s">
        <v>627</v>
      </c>
      <c r="AL10" s="325" t="b">
        <v>0</v>
      </c>
      <c r="AM10" s="328"/>
      <c r="AN10" s="326" t="s">
        <v>219</v>
      </c>
      <c r="AO10" s="329"/>
      <c r="AP10" s="329"/>
      <c r="AQ10" s="329"/>
      <c r="AR10" s="329"/>
    </row>
    <row r="11" spans="1:45" s="195" customFormat="1">
      <c r="A11" s="195" t="s">
        <v>635</v>
      </c>
      <c r="B11" s="195" t="s">
        <v>626</v>
      </c>
      <c r="C11" s="195" t="s">
        <v>623</v>
      </c>
      <c r="D11" s="195">
        <f t="shared" ref="D11:E12" si="1">AJ11</f>
        <v>8.0000000000000002E-3</v>
      </c>
      <c r="E11" s="195" t="str">
        <f t="shared" si="1"/>
        <v>pound per million British Thermal Unit (lb/MMBtu)</v>
      </c>
      <c r="F11" s="195" t="s">
        <v>489</v>
      </c>
      <c r="H11" s="330">
        <v>1588</v>
      </c>
      <c r="I11" s="331" t="s">
        <v>199</v>
      </c>
      <c r="J11" s="331" t="s">
        <v>210</v>
      </c>
      <c r="K11" s="331" t="s">
        <v>628</v>
      </c>
      <c r="L11" s="330">
        <v>3</v>
      </c>
      <c r="M11" s="330">
        <v>1</v>
      </c>
      <c r="N11" s="331" t="s">
        <v>629</v>
      </c>
      <c r="O11" s="331" t="s">
        <v>232</v>
      </c>
      <c r="P11" s="332">
        <v>38916.430555555555</v>
      </c>
      <c r="Q11" s="332">
        <v>38916.476388888892</v>
      </c>
      <c r="R11" s="328"/>
      <c r="S11" s="328"/>
      <c r="T11" s="328"/>
      <c r="U11" s="328"/>
      <c r="V11" s="330">
        <v>5.6</v>
      </c>
      <c r="W11" s="328"/>
      <c r="X11" s="328"/>
      <c r="Y11" s="331" t="s">
        <v>219</v>
      </c>
      <c r="Z11" s="328"/>
      <c r="AA11" s="331" t="s">
        <v>219</v>
      </c>
      <c r="AB11" s="330" t="b">
        <v>0</v>
      </c>
      <c r="AC11" s="328"/>
      <c r="AD11" s="328"/>
      <c r="AE11" s="331" t="s">
        <v>219</v>
      </c>
      <c r="AF11" s="328"/>
      <c r="AG11" s="331" t="s">
        <v>219</v>
      </c>
      <c r="AH11" s="330" t="b">
        <v>0</v>
      </c>
      <c r="AI11" s="328"/>
      <c r="AJ11" s="330">
        <v>8.0000000000000002E-3</v>
      </c>
      <c r="AK11" s="331" t="s">
        <v>627</v>
      </c>
      <c r="AL11" s="330" t="b">
        <v>0</v>
      </c>
      <c r="AM11" s="328"/>
      <c r="AN11" s="331" t="s">
        <v>219</v>
      </c>
      <c r="AO11" s="329"/>
      <c r="AP11" s="329"/>
      <c r="AQ11" s="329"/>
      <c r="AR11" s="329"/>
    </row>
    <row r="12" spans="1:45" s="333" customFormat="1">
      <c r="A12" s="333" t="s">
        <v>636</v>
      </c>
      <c r="B12" s="333" t="s">
        <v>626</v>
      </c>
      <c r="C12" s="333" t="s">
        <v>623</v>
      </c>
      <c r="D12" s="333">
        <f t="shared" si="1"/>
        <v>7.0000000000000001E-3</v>
      </c>
      <c r="E12" s="333" t="str">
        <f t="shared" si="1"/>
        <v>pound per million British Thermal Unit (lb/MMBtu)</v>
      </c>
      <c r="F12" s="333" t="s">
        <v>489</v>
      </c>
      <c r="H12" s="334">
        <v>1588</v>
      </c>
      <c r="I12" s="335" t="s">
        <v>199</v>
      </c>
      <c r="J12" s="335" t="s">
        <v>210</v>
      </c>
      <c r="K12" s="335" t="s">
        <v>628</v>
      </c>
      <c r="L12" s="334">
        <v>3</v>
      </c>
      <c r="M12" s="334">
        <v>1</v>
      </c>
      <c r="N12" s="335" t="s">
        <v>629</v>
      </c>
      <c r="O12" s="335" t="s">
        <v>268</v>
      </c>
      <c r="P12" s="336">
        <v>38916.487500000003</v>
      </c>
      <c r="Q12" s="336">
        <v>38916.532638888886</v>
      </c>
      <c r="R12" s="337"/>
      <c r="S12" s="337"/>
      <c r="T12" s="337"/>
      <c r="U12" s="337"/>
      <c r="V12" s="334">
        <v>5.52</v>
      </c>
      <c r="W12" s="337"/>
      <c r="X12" s="337"/>
      <c r="Y12" s="335" t="s">
        <v>219</v>
      </c>
      <c r="Z12" s="337"/>
      <c r="AA12" s="335" t="s">
        <v>219</v>
      </c>
      <c r="AB12" s="334" t="b">
        <v>0</v>
      </c>
      <c r="AC12" s="337"/>
      <c r="AD12" s="337"/>
      <c r="AE12" s="335" t="s">
        <v>219</v>
      </c>
      <c r="AF12" s="337"/>
      <c r="AG12" s="335" t="s">
        <v>219</v>
      </c>
      <c r="AH12" s="334" t="b">
        <v>0</v>
      </c>
      <c r="AI12" s="337"/>
      <c r="AJ12" s="334">
        <v>7.0000000000000001E-3</v>
      </c>
      <c r="AK12" s="335" t="s">
        <v>627</v>
      </c>
      <c r="AL12" s="334" t="b">
        <v>0</v>
      </c>
      <c r="AM12" s="337"/>
      <c r="AN12" s="335" t="s">
        <v>219</v>
      </c>
      <c r="AO12" s="338"/>
      <c r="AP12" s="338"/>
      <c r="AQ12" s="338"/>
      <c r="AR12" s="338"/>
    </row>
    <row r="13" spans="1:45" s="329" customFormat="1">
      <c r="H13" s="339">
        <v>1588</v>
      </c>
      <c r="I13" s="340" t="s">
        <v>199</v>
      </c>
      <c r="J13" s="340"/>
      <c r="K13" s="340"/>
      <c r="L13" s="339"/>
      <c r="M13" s="339"/>
      <c r="N13" s="340" t="s">
        <v>629</v>
      </c>
      <c r="O13" s="340">
        <v>1</v>
      </c>
      <c r="P13" s="341">
        <v>38916.375</v>
      </c>
      <c r="Q13" s="343">
        <v>38916.419444444444</v>
      </c>
      <c r="R13" s="342"/>
      <c r="S13" s="342"/>
      <c r="T13" s="342"/>
      <c r="U13" s="342" t="s">
        <v>899</v>
      </c>
      <c r="V13" s="339">
        <v>5.62</v>
      </c>
      <c r="W13" s="342"/>
      <c r="X13" s="342"/>
      <c r="Y13" s="340"/>
      <c r="Z13" s="342" t="s">
        <v>899</v>
      </c>
      <c r="AA13" s="340"/>
      <c r="AB13" s="339"/>
      <c r="AC13" s="342"/>
      <c r="AD13" s="342"/>
      <c r="AE13" s="340"/>
      <c r="AF13" s="342"/>
      <c r="AG13" s="340"/>
      <c r="AH13" s="339"/>
      <c r="AI13" s="342"/>
      <c r="AJ13" s="347">
        <v>0.01</v>
      </c>
      <c r="AK13" s="340" t="s">
        <v>627</v>
      </c>
      <c r="AL13" s="339"/>
      <c r="AM13" s="342"/>
      <c r="AN13" s="340"/>
      <c r="AO13" s="329" t="s">
        <v>503</v>
      </c>
    </row>
    <row r="14" spans="1:45" s="329" customFormat="1">
      <c r="H14" s="339">
        <v>1588</v>
      </c>
      <c r="I14" s="340" t="s">
        <v>199</v>
      </c>
      <c r="J14" s="340"/>
      <c r="K14" s="340"/>
      <c r="L14" s="339"/>
      <c r="M14" s="339"/>
      <c r="N14" s="340" t="s">
        <v>629</v>
      </c>
      <c r="O14" s="340">
        <v>2</v>
      </c>
      <c r="P14" s="341">
        <v>38916.430555555555</v>
      </c>
      <c r="Q14" s="343">
        <v>38916.475694444445</v>
      </c>
      <c r="R14" s="342"/>
      <c r="S14" s="342"/>
      <c r="T14" s="342"/>
      <c r="U14" s="342" t="s">
        <v>899</v>
      </c>
      <c r="V14" s="348">
        <v>5.6</v>
      </c>
      <c r="W14" s="342"/>
      <c r="X14" s="342"/>
      <c r="Y14" s="340"/>
      <c r="Z14" s="342" t="s">
        <v>899</v>
      </c>
      <c r="AA14" s="340"/>
      <c r="AB14" s="339"/>
      <c r="AC14" s="342"/>
      <c r="AD14" s="342"/>
      <c r="AE14" s="340"/>
      <c r="AF14" s="342"/>
      <c r="AG14" s="340"/>
      <c r="AH14" s="339"/>
      <c r="AI14" s="342"/>
      <c r="AJ14" s="339">
        <v>8.0000000000000002E-3</v>
      </c>
      <c r="AK14" s="340" t="s">
        <v>627</v>
      </c>
      <c r="AL14" s="339"/>
      <c r="AM14" s="342"/>
      <c r="AN14" s="340" t="s">
        <v>632</v>
      </c>
      <c r="AO14" s="329" t="s">
        <v>503</v>
      </c>
    </row>
    <row r="15" spans="1:45" s="329" customFormat="1">
      <c r="H15" s="339">
        <v>1588</v>
      </c>
      <c r="I15" s="340" t="s">
        <v>199</v>
      </c>
      <c r="J15" s="340"/>
      <c r="K15" s="340"/>
      <c r="L15" s="339"/>
      <c r="M15" s="339"/>
      <c r="N15" s="340" t="s">
        <v>629</v>
      </c>
      <c r="O15" s="340">
        <v>3</v>
      </c>
      <c r="P15" s="341">
        <v>38916.487500000003</v>
      </c>
      <c r="Q15" s="341">
        <v>38916.532638888886</v>
      </c>
      <c r="R15" s="342"/>
      <c r="S15" s="342"/>
      <c r="T15" s="342"/>
      <c r="U15" s="342" t="s">
        <v>899</v>
      </c>
      <c r="V15" s="339">
        <v>5.52</v>
      </c>
      <c r="W15" s="342"/>
      <c r="X15" s="342"/>
      <c r="Y15" s="340"/>
      <c r="Z15" s="342" t="s">
        <v>899</v>
      </c>
      <c r="AA15" s="340"/>
      <c r="AB15" s="339"/>
      <c r="AC15" s="342"/>
      <c r="AD15" s="342"/>
      <c r="AE15" s="340"/>
      <c r="AF15" s="342"/>
      <c r="AG15" s="340"/>
      <c r="AH15" s="339"/>
      <c r="AI15" s="342"/>
      <c r="AJ15" s="339">
        <v>7.0000000000000001E-3</v>
      </c>
      <c r="AK15" s="340" t="s">
        <v>627</v>
      </c>
      <c r="AL15" s="339"/>
      <c r="AM15" s="342"/>
      <c r="AN15" s="340"/>
      <c r="AO15" s="329" t="s">
        <v>503</v>
      </c>
    </row>
    <row r="16" spans="1:45" s="195" customFormat="1">
      <c r="H16" s="344"/>
      <c r="I16" s="345"/>
      <c r="J16" s="345"/>
      <c r="K16" s="345"/>
      <c r="L16" s="344"/>
      <c r="M16" s="344"/>
      <c r="N16" s="345"/>
      <c r="O16" s="345"/>
      <c r="P16" s="346"/>
      <c r="Q16" s="346"/>
      <c r="R16" s="328"/>
      <c r="S16" s="328"/>
      <c r="T16" s="328"/>
      <c r="U16" s="328"/>
      <c r="V16" s="344"/>
      <c r="W16" s="328"/>
      <c r="X16" s="328"/>
      <c r="Y16" s="345"/>
      <c r="Z16" s="328"/>
      <c r="AA16" s="345"/>
      <c r="AB16" s="344"/>
      <c r="AC16" s="328"/>
      <c r="AD16" s="328"/>
      <c r="AE16" s="345"/>
      <c r="AF16" s="328"/>
      <c r="AG16" s="345"/>
      <c r="AH16" s="344"/>
      <c r="AI16" s="328"/>
      <c r="AJ16" s="344"/>
      <c r="AK16" s="345"/>
      <c r="AL16" s="344"/>
      <c r="AM16" s="328"/>
      <c r="AN16" s="345"/>
      <c r="AO16" s="329"/>
      <c r="AP16" s="329"/>
      <c r="AQ16" s="329"/>
      <c r="AR16" s="329"/>
    </row>
    <row r="17" spans="1:45" s="195" customFormat="1">
      <c r="A17" s="195" t="s">
        <v>639</v>
      </c>
      <c r="B17" s="195" t="s">
        <v>626</v>
      </c>
      <c r="C17" s="195" t="s">
        <v>623</v>
      </c>
      <c r="D17" s="195">
        <f>AJ17</f>
        <v>4.0000000000000001E-3</v>
      </c>
      <c r="E17" s="195" t="str">
        <f>AK17</f>
        <v>pound per million British Thermal Unit (lb/MMBtu)</v>
      </c>
      <c r="F17" s="195" t="s">
        <v>489</v>
      </c>
      <c r="G17" s="195" t="s">
        <v>640</v>
      </c>
      <c r="H17" s="325">
        <v>1588</v>
      </c>
      <c r="I17" s="326" t="s">
        <v>199</v>
      </c>
      <c r="J17" s="326" t="s">
        <v>206</v>
      </c>
      <c r="K17" s="326" t="s">
        <v>628</v>
      </c>
      <c r="L17" s="325">
        <v>3</v>
      </c>
      <c r="M17" s="325">
        <v>1</v>
      </c>
      <c r="N17" s="326" t="s">
        <v>629</v>
      </c>
      <c r="O17" s="326" t="s">
        <v>352</v>
      </c>
      <c r="P17" s="327">
        <v>39651.541666666664</v>
      </c>
      <c r="Q17" s="327">
        <v>39651.591666666667</v>
      </c>
      <c r="R17" s="328"/>
      <c r="S17" s="328"/>
      <c r="T17" s="328"/>
      <c r="U17" s="328"/>
      <c r="V17" s="325">
        <v>6.46</v>
      </c>
      <c r="W17" s="328"/>
      <c r="X17" s="328"/>
      <c r="Y17" s="326" t="s">
        <v>219</v>
      </c>
      <c r="Z17" s="328"/>
      <c r="AA17" s="326" t="s">
        <v>219</v>
      </c>
      <c r="AB17" s="325" t="b">
        <v>0</v>
      </c>
      <c r="AC17" s="328"/>
      <c r="AD17" s="328"/>
      <c r="AE17" s="326" t="s">
        <v>219</v>
      </c>
      <c r="AF17" s="328"/>
      <c r="AG17" s="326" t="s">
        <v>219</v>
      </c>
      <c r="AH17" s="325" t="b">
        <v>0</v>
      </c>
      <c r="AI17" s="328"/>
      <c r="AJ17" s="325">
        <v>4.0000000000000001E-3</v>
      </c>
      <c r="AK17" s="326" t="s">
        <v>627</v>
      </c>
      <c r="AL17" s="325" t="b">
        <v>0</v>
      </c>
      <c r="AM17" s="328"/>
      <c r="AN17" s="326" t="s">
        <v>219</v>
      </c>
      <c r="AO17" s="329"/>
      <c r="AP17" s="329"/>
      <c r="AQ17" s="329"/>
      <c r="AR17" s="329"/>
    </row>
    <row r="18" spans="1:45" s="195" customFormat="1">
      <c r="A18" s="195" t="s">
        <v>642</v>
      </c>
      <c r="B18" s="195" t="s">
        <v>626</v>
      </c>
      <c r="C18" s="195" t="s">
        <v>623</v>
      </c>
      <c r="D18" s="195">
        <f t="shared" ref="D18:E19" si="2">AJ18</f>
        <v>4.0000000000000001E-3</v>
      </c>
      <c r="E18" s="195" t="str">
        <f t="shared" si="2"/>
        <v>pound per million British Thermal Unit (lb/MMBtu)</v>
      </c>
      <c r="F18" s="195" t="s">
        <v>489</v>
      </c>
      <c r="G18" s="195" t="s">
        <v>640</v>
      </c>
      <c r="H18" s="330">
        <v>1588</v>
      </c>
      <c r="I18" s="331" t="s">
        <v>199</v>
      </c>
      <c r="J18" s="331" t="s">
        <v>206</v>
      </c>
      <c r="K18" s="331" t="s">
        <v>628</v>
      </c>
      <c r="L18" s="330">
        <v>3</v>
      </c>
      <c r="M18" s="330">
        <v>1</v>
      </c>
      <c r="N18" s="331" t="s">
        <v>629</v>
      </c>
      <c r="O18" s="331" t="s">
        <v>232</v>
      </c>
      <c r="P18" s="332">
        <v>39651.600694444445</v>
      </c>
      <c r="Q18" s="332">
        <v>39651.649305555555</v>
      </c>
      <c r="R18" s="328"/>
      <c r="S18" s="328"/>
      <c r="T18" s="328"/>
      <c r="U18" s="328"/>
      <c r="V18" s="330">
        <v>6.18</v>
      </c>
      <c r="W18" s="328"/>
      <c r="X18" s="328"/>
      <c r="Y18" s="331" t="s">
        <v>219</v>
      </c>
      <c r="Z18" s="328"/>
      <c r="AA18" s="331" t="s">
        <v>219</v>
      </c>
      <c r="AB18" s="330" t="b">
        <v>0</v>
      </c>
      <c r="AC18" s="328"/>
      <c r="AD18" s="328"/>
      <c r="AE18" s="331" t="s">
        <v>219</v>
      </c>
      <c r="AF18" s="328"/>
      <c r="AG18" s="331" t="s">
        <v>219</v>
      </c>
      <c r="AH18" s="330" t="b">
        <v>0</v>
      </c>
      <c r="AI18" s="328"/>
      <c r="AJ18" s="330">
        <v>4.0000000000000001E-3</v>
      </c>
      <c r="AK18" s="331" t="s">
        <v>627</v>
      </c>
      <c r="AL18" s="330" t="b">
        <v>0</v>
      </c>
      <c r="AM18" s="328"/>
      <c r="AN18" s="331" t="s">
        <v>219</v>
      </c>
      <c r="AO18" s="329"/>
      <c r="AP18" s="329"/>
      <c r="AQ18" s="329"/>
      <c r="AR18" s="329"/>
    </row>
    <row r="19" spans="1:45" s="333" customFormat="1">
      <c r="A19" s="333" t="s">
        <v>644</v>
      </c>
      <c r="B19" s="333" t="s">
        <v>626</v>
      </c>
      <c r="C19" s="333" t="s">
        <v>623</v>
      </c>
      <c r="D19" s="333">
        <f t="shared" si="2"/>
        <v>3.0000000000000001E-3</v>
      </c>
      <c r="E19" s="333" t="str">
        <f t="shared" si="2"/>
        <v>pound per million British Thermal Unit (lb/MMBtu)</v>
      </c>
      <c r="F19" s="333" t="s">
        <v>489</v>
      </c>
      <c r="G19" s="333" t="s">
        <v>640</v>
      </c>
      <c r="H19" s="334">
        <v>1588</v>
      </c>
      <c r="I19" s="335" t="s">
        <v>199</v>
      </c>
      <c r="J19" s="335" t="s">
        <v>206</v>
      </c>
      <c r="K19" s="335" t="s">
        <v>628</v>
      </c>
      <c r="L19" s="334">
        <v>3</v>
      </c>
      <c r="M19" s="334">
        <v>1</v>
      </c>
      <c r="N19" s="335" t="s">
        <v>629</v>
      </c>
      <c r="O19" s="335" t="s">
        <v>268</v>
      </c>
      <c r="P19" s="336">
        <v>39651.697916666664</v>
      </c>
      <c r="Q19" s="336">
        <v>39651.745138888888</v>
      </c>
      <c r="R19" s="337"/>
      <c r="S19" s="337"/>
      <c r="T19" s="337"/>
      <c r="U19" s="337"/>
      <c r="V19" s="334">
        <v>9.1300000000000008</v>
      </c>
      <c r="W19" s="337"/>
      <c r="X19" s="337"/>
      <c r="Y19" s="335" t="s">
        <v>219</v>
      </c>
      <c r="Z19" s="337"/>
      <c r="AA19" s="335" t="s">
        <v>219</v>
      </c>
      <c r="AB19" s="334" t="b">
        <v>0</v>
      </c>
      <c r="AC19" s="337"/>
      <c r="AD19" s="337"/>
      <c r="AE19" s="335" t="s">
        <v>219</v>
      </c>
      <c r="AF19" s="337"/>
      <c r="AG19" s="335" t="s">
        <v>219</v>
      </c>
      <c r="AH19" s="334" t="b">
        <v>0</v>
      </c>
      <c r="AI19" s="337"/>
      <c r="AJ19" s="334">
        <v>3.0000000000000001E-3</v>
      </c>
      <c r="AK19" s="335" t="s">
        <v>627</v>
      </c>
      <c r="AL19" s="334" t="b">
        <v>0</v>
      </c>
      <c r="AM19" s="337"/>
      <c r="AN19" s="335" t="s">
        <v>219</v>
      </c>
      <c r="AO19" s="338"/>
      <c r="AP19" s="338"/>
      <c r="AQ19" s="338"/>
      <c r="AR19" s="338"/>
    </row>
    <row r="20" spans="1:45" s="329" customFormat="1">
      <c r="H20" s="339">
        <v>1588</v>
      </c>
      <c r="I20" s="340" t="s">
        <v>199</v>
      </c>
      <c r="J20" s="340"/>
      <c r="K20" s="340"/>
      <c r="L20" s="339"/>
      <c r="M20" s="339"/>
      <c r="N20" s="340" t="s">
        <v>629</v>
      </c>
      <c r="O20" s="340">
        <v>1</v>
      </c>
      <c r="P20" s="341">
        <v>39651.541666666664</v>
      </c>
      <c r="Q20" s="343">
        <v>39651.583333333336</v>
      </c>
      <c r="R20" s="342"/>
      <c r="S20" s="342"/>
      <c r="T20" s="342"/>
      <c r="U20" s="342" t="s">
        <v>899</v>
      </c>
      <c r="V20" s="339">
        <v>6.46</v>
      </c>
      <c r="W20" s="342"/>
      <c r="X20" s="342"/>
      <c r="Y20" s="340"/>
      <c r="Z20" s="342" t="s">
        <v>899</v>
      </c>
      <c r="AA20" s="340"/>
      <c r="AB20" s="339"/>
      <c r="AC20" s="342"/>
      <c r="AD20" s="342"/>
      <c r="AE20" s="340"/>
      <c r="AF20" s="342"/>
      <c r="AG20" s="340"/>
      <c r="AH20" s="339"/>
      <c r="AI20" s="342"/>
      <c r="AJ20" s="339">
        <v>4.0000000000000001E-3</v>
      </c>
      <c r="AK20" s="340" t="s">
        <v>627</v>
      </c>
      <c r="AL20" s="339"/>
      <c r="AM20" s="342"/>
      <c r="AN20" s="340"/>
      <c r="AO20" s="329" t="s">
        <v>503</v>
      </c>
      <c r="AQ20" s="329" t="s">
        <v>520</v>
      </c>
      <c r="AS20" s="349" t="s">
        <v>900</v>
      </c>
    </row>
    <row r="21" spans="1:45" s="329" customFormat="1">
      <c r="H21" s="339">
        <v>1588</v>
      </c>
      <c r="I21" s="340" t="s">
        <v>199</v>
      </c>
      <c r="J21" s="340"/>
      <c r="K21" s="340"/>
      <c r="L21" s="339"/>
      <c r="M21" s="339"/>
      <c r="N21" s="340" t="s">
        <v>629</v>
      </c>
      <c r="O21" s="340">
        <v>2</v>
      </c>
      <c r="P21" s="341">
        <v>39651.600694444445</v>
      </c>
      <c r="Q21" s="343">
        <v>39651.645833333336</v>
      </c>
      <c r="R21" s="342"/>
      <c r="S21" s="342"/>
      <c r="T21" s="342"/>
      <c r="U21" s="342" t="s">
        <v>899</v>
      </c>
      <c r="V21" s="339">
        <v>6.18</v>
      </c>
      <c r="W21" s="342"/>
      <c r="X21" s="342"/>
      <c r="Y21" s="340"/>
      <c r="Z21" s="342" t="s">
        <v>899</v>
      </c>
      <c r="AA21" s="340"/>
      <c r="AB21" s="339"/>
      <c r="AC21" s="342"/>
      <c r="AD21" s="342"/>
      <c r="AE21" s="340"/>
      <c r="AF21" s="342"/>
      <c r="AG21" s="340"/>
      <c r="AH21" s="339"/>
      <c r="AI21" s="342"/>
      <c r="AJ21" s="339">
        <v>4.0000000000000001E-3</v>
      </c>
      <c r="AK21" s="340" t="s">
        <v>627</v>
      </c>
      <c r="AL21" s="339"/>
      <c r="AM21" s="342"/>
      <c r="AN21" s="340" t="s">
        <v>632</v>
      </c>
      <c r="AO21" s="329" t="s">
        <v>503</v>
      </c>
      <c r="AQ21" s="329" t="s">
        <v>520</v>
      </c>
      <c r="AS21" s="349" t="s">
        <v>900</v>
      </c>
    </row>
    <row r="22" spans="1:45" s="329" customFormat="1">
      <c r="H22" s="339">
        <v>1588</v>
      </c>
      <c r="I22" s="340" t="s">
        <v>199</v>
      </c>
      <c r="J22" s="340"/>
      <c r="K22" s="340"/>
      <c r="L22" s="339"/>
      <c r="M22" s="339"/>
      <c r="N22" s="340" t="s">
        <v>629</v>
      </c>
      <c r="O22" s="340">
        <v>3</v>
      </c>
      <c r="P22" s="343">
        <v>39651.694444444445</v>
      </c>
      <c r="Q22" s="343">
        <v>39651.743055555555</v>
      </c>
      <c r="R22" s="342"/>
      <c r="S22" s="342"/>
      <c r="T22" s="342"/>
      <c r="U22" s="342" t="s">
        <v>899</v>
      </c>
      <c r="V22" s="339">
        <v>9.1300000000000008</v>
      </c>
      <c r="W22" s="342"/>
      <c r="X22" s="342"/>
      <c r="Y22" s="340"/>
      <c r="Z22" s="342" t="s">
        <v>899</v>
      </c>
      <c r="AA22" s="340"/>
      <c r="AB22" s="339"/>
      <c r="AC22" s="342"/>
      <c r="AD22" s="342"/>
      <c r="AE22" s="340"/>
      <c r="AF22" s="342"/>
      <c r="AG22" s="340"/>
      <c r="AH22" s="339"/>
      <c r="AI22" s="342"/>
      <c r="AJ22" s="339">
        <v>3.0000000000000001E-3</v>
      </c>
      <c r="AK22" s="340" t="s">
        <v>627</v>
      </c>
      <c r="AL22" s="339"/>
      <c r="AM22" s="342"/>
      <c r="AN22" s="340"/>
      <c r="AO22" s="329" t="s">
        <v>503</v>
      </c>
      <c r="AQ22" s="329" t="s">
        <v>520</v>
      </c>
      <c r="AS22" s="349" t="s">
        <v>900</v>
      </c>
    </row>
    <row r="23" spans="1:45" s="195" customFormat="1">
      <c r="H23" s="344"/>
      <c r="I23" s="345"/>
      <c r="J23" s="345"/>
      <c r="K23" s="345"/>
      <c r="L23" s="344"/>
      <c r="M23" s="344"/>
      <c r="N23" s="345"/>
      <c r="O23" s="345"/>
      <c r="P23" s="346"/>
      <c r="Q23" s="346"/>
      <c r="R23" s="328"/>
      <c r="S23" s="328"/>
      <c r="T23" s="328"/>
      <c r="U23" s="328"/>
      <c r="V23" s="344"/>
      <c r="W23" s="328"/>
      <c r="X23" s="328"/>
      <c r="Y23" s="345"/>
      <c r="Z23" s="328"/>
      <c r="AA23" s="345"/>
      <c r="AB23" s="344"/>
      <c r="AC23" s="328"/>
      <c r="AD23" s="328"/>
      <c r="AE23" s="345"/>
      <c r="AF23" s="328"/>
      <c r="AG23" s="345"/>
      <c r="AH23" s="344"/>
      <c r="AI23" s="328"/>
      <c r="AJ23" s="344"/>
      <c r="AK23" s="345"/>
      <c r="AL23" s="344"/>
      <c r="AM23" s="328"/>
      <c r="AN23" s="345"/>
      <c r="AO23" s="329"/>
      <c r="AP23" s="329"/>
      <c r="AQ23" s="329"/>
      <c r="AR23" s="329"/>
    </row>
    <row r="24" spans="1:45" s="195" customFormat="1">
      <c r="A24" s="195" t="s">
        <v>647</v>
      </c>
      <c r="B24" s="195" t="s">
        <v>626</v>
      </c>
      <c r="C24" s="195" t="s">
        <v>623</v>
      </c>
      <c r="D24" s="195">
        <f>AJ24</f>
        <v>2.2000000000000001E-3</v>
      </c>
      <c r="E24" s="195" t="str">
        <f>AK24</f>
        <v>pound per million British Thermal Unit (lb/MMBtu)</v>
      </c>
      <c r="F24" s="195" t="s">
        <v>489</v>
      </c>
      <c r="H24" s="325">
        <v>1588</v>
      </c>
      <c r="I24" s="326" t="s">
        <v>199</v>
      </c>
      <c r="J24" s="326" t="s">
        <v>203</v>
      </c>
      <c r="K24" s="326" t="s">
        <v>628</v>
      </c>
      <c r="L24" s="325">
        <v>3</v>
      </c>
      <c r="M24" s="325">
        <v>1</v>
      </c>
      <c r="N24" s="326" t="s">
        <v>629</v>
      </c>
      <c r="O24" s="326" t="s">
        <v>352</v>
      </c>
      <c r="P24" s="327">
        <v>39773.444444444445</v>
      </c>
      <c r="Q24" s="327">
        <v>39773.493055555555</v>
      </c>
      <c r="R24" s="328"/>
      <c r="S24" s="328"/>
      <c r="T24" s="328"/>
      <c r="U24" s="328"/>
      <c r="V24" s="325">
        <v>8.4</v>
      </c>
      <c r="W24" s="328"/>
      <c r="X24" s="328"/>
      <c r="Y24" s="326" t="s">
        <v>219</v>
      </c>
      <c r="Z24" s="328"/>
      <c r="AA24" s="326" t="s">
        <v>219</v>
      </c>
      <c r="AB24" s="325" t="b">
        <v>0</v>
      </c>
      <c r="AC24" s="328"/>
      <c r="AD24" s="328"/>
      <c r="AE24" s="326" t="s">
        <v>219</v>
      </c>
      <c r="AF24" s="328"/>
      <c r="AG24" s="326" t="s">
        <v>219</v>
      </c>
      <c r="AH24" s="325" t="b">
        <v>0</v>
      </c>
      <c r="AI24" s="328"/>
      <c r="AJ24" s="325">
        <v>2.2000000000000001E-3</v>
      </c>
      <c r="AK24" s="326" t="s">
        <v>627</v>
      </c>
      <c r="AL24" s="325" t="b">
        <v>0</v>
      </c>
      <c r="AM24" s="328"/>
      <c r="AN24" s="326" t="s">
        <v>219</v>
      </c>
      <c r="AO24" s="329"/>
      <c r="AP24" s="329"/>
      <c r="AQ24" s="329"/>
      <c r="AR24" s="329"/>
    </row>
    <row r="25" spans="1:45" s="195" customFormat="1">
      <c r="A25" s="195" t="s">
        <v>648</v>
      </c>
      <c r="B25" s="195" t="s">
        <v>626</v>
      </c>
      <c r="C25" s="195" t="s">
        <v>623</v>
      </c>
      <c r="D25" s="195">
        <f t="shared" ref="D25:E26" si="3">AJ25</f>
        <v>4.0000000000000002E-4</v>
      </c>
      <c r="E25" s="195" t="str">
        <f t="shared" si="3"/>
        <v>pound per million British Thermal Unit (lb/MMBtu)</v>
      </c>
      <c r="F25" s="195" t="s">
        <v>489</v>
      </c>
      <c r="H25" s="330">
        <v>1588</v>
      </c>
      <c r="I25" s="331" t="s">
        <v>199</v>
      </c>
      <c r="J25" s="331" t="s">
        <v>203</v>
      </c>
      <c r="K25" s="331" t="s">
        <v>628</v>
      </c>
      <c r="L25" s="330">
        <v>3</v>
      </c>
      <c r="M25" s="330">
        <v>1</v>
      </c>
      <c r="N25" s="331" t="s">
        <v>629</v>
      </c>
      <c r="O25" s="331" t="s">
        <v>232</v>
      </c>
      <c r="P25" s="332">
        <v>39773.517361111109</v>
      </c>
      <c r="Q25" s="332">
        <v>39773.565972222219</v>
      </c>
      <c r="R25" s="328"/>
      <c r="S25" s="328"/>
      <c r="T25" s="328"/>
      <c r="U25" s="328"/>
      <c r="V25" s="330">
        <v>9</v>
      </c>
      <c r="W25" s="328"/>
      <c r="X25" s="328"/>
      <c r="Y25" s="331" t="s">
        <v>219</v>
      </c>
      <c r="Z25" s="328"/>
      <c r="AA25" s="331" t="s">
        <v>219</v>
      </c>
      <c r="AB25" s="330" t="b">
        <v>0</v>
      </c>
      <c r="AC25" s="328"/>
      <c r="AD25" s="328"/>
      <c r="AE25" s="331" t="s">
        <v>219</v>
      </c>
      <c r="AF25" s="328"/>
      <c r="AG25" s="331" t="s">
        <v>219</v>
      </c>
      <c r="AH25" s="330" t="b">
        <v>0</v>
      </c>
      <c r="AI25" s="328"/>
      <c r="AJ25" s="330">
        <v>4.0000000000000002E-4</v>
      </c>
      <c r="AK25" s="331" t="s">
        <v>627</v>
      </c>
      <c r="AL25" s="330" t="b">
        <v>0</v>
      </c>
      <c r="AM25" s="328"/>
      <c r="AN25" s="331" t="s">
        <v>219</v>
      </c>
      <c r="AO25" s="329"/>
      <c r="AP25" s="329"/>
      <c r="AQ25" s="329"/>
      <c r="AR25" s="329"/>
    </row>
    <row r="26" spans="1:45" s="333" customFormat="1">
      <c r="A26" s="333" t="s">
        <v>649</v>
      </c>
      <c r="B26" s="333" t="s">
        <v>626</v>
      </c>
      <c r="C26" s="333" t="s">
        <v>623</v>
      </c>
      <c r="D26" s="333">
        <f t="shared" si="3"/>
        <v>5.0000000000000001E-4</v>
      </c>
      <c r="E26" s="333" t="str">
        <f t="shared" si="3"/>
        <v>pound per million British Thermal Unit (lb/MMBtu)</v>
      </c>
      <c r="F26" s="333" t="s">
        <v>489</v>
      </c>
      <c r="H26" s="334">
        <v>1588</v>
      </c>
      <c r="I26" s="335" t="s">
        <v>199</v>
      </c>
      <c r="J26" s="335" t="s">
        <v>203</v>
      </c>
      <c r="K26" s="335" t="s">
        <v>628</v>
      </c>
      <c r="L26" s="334">
        <v>3</v>
      </c>
      <c r="M26" s="334">
        <v>1</v>
      </c>
      <c r="N26" s="335" t="s">
        <v>629</v>
      </c>
      <c r="O26" s="335" t="s">
        <v>268</v>
      </c>
      <c r="P26" s="336">
        <v>39773.579861111109</v>
      </c>
      <c r="Q26" s="336">
        <v>39773.628472222219</v>
      </c>
      <c r="R26" s="337"/>
      <c r="S26" s="337"/>
      <c r="T26" s="337"/>
      <c r="U26" s="337"/>
      <c r="V26" s="334">
        <v>9</v>
      </c>
      <c r="W26" s="337"/>
      <c r="X26" s="337"/>
      <c r="Y26" s="335" t="s">
        <v>219</v>
      </c>
      <c r="Z26" s="337"/>
      <c r="AA26" s="335" t="s">
        <v>219</v>
      </c>
      <c r="AB26" s="334" t="b">
        <v>0</v>
      </c>
      <c r="AC26" s="337"/>
      <c r="AD26" s="337"/>
      <c r="AE26" s="335" t="s">
        <v>219</v>
      </c>
      <c r="AF26" s="337"/>
      <c r="AG26" s="335" t="s">
        <v>219</v>
      </c>
      <c r="AH26" s="334" t="b">
        <v>0</v>
      </c>
      <c r="AI26" s="337"/>
      <c r="AJ26" s="334">
        <v>5.0000000000000001E-4</v>
      </c>
      <c r="AK26" s="335" t="s">
        <v>627</v>
      </c>
      <c r="AL26" s="334" t="b">
        <v>0</v>
      </c>
      <c r="AM26" s="337"/>
      <c r="AN26" s="335" t="s">
        <v>219</v>
      </c>
      <c r="AO26" s="338"/>
      <c r="AP26" s="338"/>
      <c r="AQ26" s="338"/>
      <c r="AR26" s="338"/>
    </row>
    <row r="27" spans="1:45" s="350" customFormat="1">
      <c r="H27" s="350">
        <v>1588</v>
      </c>
      <c r="I27" s="350" t="s">
        <v>199</v>
      </c>
      <c r="N27" s="350" t="s">
        <v>629</v>
      </c>
      <c r="O27" s="350">
        <v>1</v>
      </c>
      <c r="P27" s="351">
        <v>39773.444444444445</v>
      </c>
      <c r="Q27" s="352">
        <v>39773.486111111109</v>
      </c>
      <c r="U27" s="342" t="s">
        <v>899</v>
      </c>
      <c r="V27" s="350">
        <v>8.4</v>
      </c>
      <c r="Z27" s="350" t="s">
        <v>899</v>
      </c>
      <c r="AJ27" s="350">
        <v>2.2000000000000001E-3</v>
      </c>
      <c r="AK27" s="350" t="s">
        <v>627</v>
      </c>
      <c r="AO27" s="350" t="s">
        <v>503</v>
      </c>
    </row>
    <row r="28" spans="1:45" s="350" customFormat="1">
      <c r="H28" s="350">
        <v>1588</v>
      </c>
      <c r="I28" s="350" t="s">
        <v>199</v>
      </c>
      <c r="N28" s="350" t="s">
        <v>629</v>
      </c>
      <c r="O28" s="350">
        <v>2</v>
      </c>
      <c r="P28" s="353">
        <v>39773.517361111109</v>
      </c>
      <c r="Q28" s="354">
        <v>39773.559027777781</v>
      </c>
      <c r="U28" s="342" t="s">
        <v>899</v>
      </c>
      <c r="V28" s="355">
        <v>9</v>
      </c>
      <c r="Z28" s="350" t="s">
        <v>899</v>
      </c>
      <c r="AJ28" s="350">
        <v>4.0000000000000002E-4</v>
      </c>
      <c r="AK28" s="350" t="s">
        <v>627</v>
      </c>
      <c r="AN28" s="340" t="s">
        <v>632</v>
      </c>
      <c r="AO28" s="350" t="s">
        <v>503</v>
      </c>
    </row>
    <row r="29" spans="1:45" s="350" customFormat="1">
      <c r="H29" s="350">
        <v>1588</v>
      </c>
      <c r="I29" s="350" t="s">
        <v>199</v>
      </c>
      <c r="N29" s="350" t="s">
        <v>629</v>
      </c>
      <c r="O29" s="350">
        <v>3</v>
      </c>
      <c r="P29" s="356">
        <v>39773.579861111109</v>
      </c>
      <c r="Q29" s="357">
        <v>39773.625</v>
      </c>
      <c r="U29" s="342" t="s">
        <v>899</v>
      </c>
      <c r="V29" s="355">
        <v>9</v>
      </c>
      <c r="Z29" s="350" t="s">
        <v>899</v>
      </c>
      <c r="AJ29" s="350">
        <v>5.0000000000000001E-4</v>
      </c>
      <c r="AK29" s="350" t="s">
        <v>627</v>
      </c>
      <c r="AO29" s="350" t="s">
        <v>503</v>
      </c>
    </row>
    <row r="32" spans="1:45">
      <c r="H32" t="s">
        <v>901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F65"/>
  <sheetViews>
    <sheetView workbookViewId="0">
      <selection activeCell="K7" sqref="K7"/>
    </sheetView>
  </sheetViews>
  <sheetFormatPr defaultRowHeight="15"/>
  <cols>
    <col min="1" max="1" width="36.85546875" customWidth="1"/>
    <col min="2" max="2" width="9.7109375" bestFit="1" customWidth="1"/>
    <col min="3" max="3" width="10.7109375" bestFit="1" customWidth="1"/>
    <col min="4" max="4" width="16.5703125" bestFit="1" customWidth="1"/>
    <col min="5" max="5" width="6.7109375" bestFit="1" customWidth="1"/>
    <col min="6" max="6" width="15" customWidth="1"/>
    <col min="7" max="7" width="12.85546875" customWidth="1"/>
    <col min="8" max="10" width="15" customWidth="1"/>
    <col min="27" max="27" width="24.42578125" customWidth="1"/>
  </cols>
  <sheetData>
    <row r="1" spans="1:32">
      <c r="H1" s="92" t="s">
        <v>650</v>
      </c>
      <c r="I1" s="92" t="s">
        <v>651</v>
      </c>
      <c r="J1" s="358" t="s">
        <v>652</v>
      </c>
    </row>
    <row r="2" spans="1:32">
      <c r="B2" t="s">
        <v>579</v>
      </c>
      <c r="C2" t="s">
        <v>580</v>
      </c>
      <c r="D2" t="s">
        <v>581</v>
      </c>
      <c r="E2" t="s">
        <v>585</v>
      </c>
      <c r="F2" t="s">
        <v>586</v>
      </c>
      <c r="G2" t="s">
        <v>587</v>
      </c>
      <c r="H2" s="92" t="s">
        <v>499</v>
      </c>
      <c r="I2" s="92" t="s">
        <v>499</v>
      </c>
      <c r="J2" s="358" t="s">
        <v>499</v>
      </c>
      <c r="K2" t="s">
        <v>588</v>
      </c>
      <c r="L2" t="s">
        <v>654</v>
      </c>
      <c r="M2" t="s">
        <v>591</v>
      </c>
      <c r="N2" t="s">
        <v>655</v>
      </c>
      <c r="O2" t="s">
        <v>656</v>
      </c>
      <c r="P2" t="s">
        <v>657</v>
      </c>
      <c r="Q2" t="s">
        <v>658</v>
      </c>
      <c r="R2" t="s">
        <v>659</v>
      </c>
      <c r="S2" t="s">
        <v>660</v>
      </c>
      <c r="T2" t="s">
        <v>592</v>
      </c>
      <c r="U2" t="s">
        <v>593</v>
      </c>
      <c r="V2" t="s">
        <v>594</v>
      </c>
      <c r="W2" t="s">
        <v>661</v>
      </c>
      <c r="X2" t="s">
        <v>662</v>
      </c>
      <c r="Y2" t="s">
        <v>595</v>
      </c>
      <c r="Z2" t="s">
        <v>663</v>
      </c>
      <c r="AA2" t="s">
        <v>664</v>
      </c>
      <c r="AB2" t="s">
        <v>665</v>
      </c>
      <c r="AC2" t="s">
        <v>589</v>
      </c>
      <c r="AD2" t="s">
        <v>666</v>
      </c>
      <c r="AE2" t="s">
        <v>590</v>
      </c>
      <c r="AF2" t="s">
        <v>667</v>
      </c>
    </row>
    <row r="3" spans="1:32">
      <c r="A3" t="str">
        <f t="shared" ref="A3:A32" si="0">B3&amp;"_"&amp;C3&amp;"_"&amp;D3&amp;"_"&amp;E3</f>
        <v>617_PPE03 2005_PPE STK03_1</v>
      </c>
      <c r="B3">
        <v>617</v>
      </c>
      <c r="C3" t="s">
        <v>670</v>
      </c>
      <c r="D3" t="s">
        <v>671</v>
      </c>
      <c r="E3" t="s">
        <v>352</v>
      </c>
      <c r="F3" s="246">
        <v>38433.356944444444</v>
      </c>
      <c r="G3" s="246">
        <v>38433.402083333334</v>
      </c>
      <c r="H3" s="53">
        <f>VLOOKUP(A3,A36:N579,13,FALSE)</f>
        <v>4.9000000000000002E-2</v>
      </c>
      <c r="I3" s="53">
        <f t="shared" ref="I3:I10" si="1">ROUND((G3-F3)*24,0)*0.00000220462*0.028317*9190*IF(T3&lt;&gt;"",20.9/(20.9-T3),20.9/(20.9-6))</f>
        <v>7.3562279236946877E-4</v>
      </c>
      <c r="J3" s="359">
        <f>IF(H3&lt;I3,I3 &amp; " MDL",H3)</f>
        <v>4.9000000000000002E-2</v>
      </c>
      <c r="K3">
        <v>404</v>
      </c>
      <c r="L3">
        <v>383</v>
      </c>
      <c r="M3">
        <v>10.37</v>
      </c>
      <c r="N3">
        <v>838655</v>
      </c>
      <c r="O3" t="s">
        <v>672</v>
      </c>
      <c r="P3">
        <v>68</v>
      </c>
      <c r="Q3">
        <v>29.92</v>
      </c>
      <c r="T3">
        <v>4.5999999999999996</v>
      </c>
      <c r="U3">
        <v>13.1</v>
      </c>
      <c r="V3">
        <v>300</v>
      </c>
      <c r="W3">
        <v>29.9</v>
      </c>
      <c r="Y3" t="s">
        <v>673</v>
      </c>
      <c r="Z3" t="s">
        <v>674</v>
      </c>
      <c r="AA3" t="s">
        <v>675</v>
      </c>
      <c r="AB3">
        <v>404</v>
      </c>
      <c r="AC3">
        <v>191500</v>
      </c>
      <c r="AD3">
        <v>0.05</v>
      </c>
      <c r="AE3">
        <v>18330</v>
      </c>
      <c r="AF3">
        <v>1</v>
      </c>
    </row>
    <row r="4" spans="1:32">
      <c r="A4" t="str">
        <f t="shared" si="0"/>
        <v>617_PPE03 2005_PPE STK03_2</v>
      </c>
      <c r="B4">
        <v>617</v>
      </c>
      <c r="C4" t="s">
        <v>670</v>
      </c>
      <c r="D4" t="s">
        <v>671</v>
      </c>
      <c r="E4" t="s">
        <v>232</v>
      </c>
      <c r="F4" s="246">
        <v>38433.409722222219</v>
      </c>
      <c r="G4" s="246">
        <v>38433.454861111109</v>
      </c>
      <c r="H4" s="53">
        <f t="shared" ref="H4:H32" si="2">VLOOKUP(A4,A37:N580,13,FALSE)</f>
        <v>2.5000000000000001E-2</v>
      </c>
      <c r="I4" s="53">
        <f t="shared" si="1"/>
        <v>7.4476096370325101E-4</v>
      </c>
      <c r="J4" s="359">
        <f t="shared" ref="J4:J32" si="3">IF(H4&lt;I4,I4 &amp; " MDL",H4)</f>
        <v>2.5000000000000001E-2</v>
      </c>
      <c r="K4">
        <v>403</v>
      </c>
      <c r="L4">
        <v>383</v>
      </c>
      <c r="M4">
        <v>9.6199999999999992</v>
      </c>
      <c r="N4">
        <v>838364</v>
      </c>
      <c r="O4" t="s">
        <v>672</v>
      </c>
      <c r="P4">
        <v>68</v>
      </c>
      <c r="Q4">
        <v>29.92</v>
      </c>
      <c r="T4">
        <v>4.8</v>
      </c>
      <c r="U4">
        <v>12.9</v>
      </c>
      <c r="V4">
        <v>300</v>
      </c>
      <c r="W4">
        <v>29.9</v>
      </c>
      <c r="Y4" t="s">
        <v>673</v>
      </c>
      <c r="Z4" t="s">
        <v>676</v>
      </c>
      <c r="AA4" t="s">
        <v>675</v>
      </c>
      <c r="AB4">
        <v>403</v>
      </c>
      <c r="AC4">
        <v>191500</v>
      </c>
      <c r="AD4">
        <v>0.05</v>
      </c>
      <c r="AE4">
        <v>18330</v>
      </c>
      <c r="AF4">
        <v>1</v>
      </c>
    </row>
    <row r="5" spans="1:32">
      <c r="A5" t="str">
        <f t="shared" si="0"/>
        <v>617_PPE03 2005_PPE STK03_3</v>
      </c>
      <c r="B5">
        <v>617</v>
      </c>
      <c r="C5" t="s">
        <v>670</v>
      </c>
      <c r="D5" t="s">
        <v>671</v>
      </c>
      <c r="E5" t="s">
        <v>268</v>
      </c>
      <c r="F5" s="246">
        <v>38433.458333333336</v>
      </c>
      <c r="G5" s="246">
        <v>38433.502083333333</v>
      </c>
      <c r="H5" s="53">
        <f t="shared" si="2"/>
        <v>2.1000000000000001E-2</v>
      </c>
      <c r="I5" s="53">
        <f t="shared" si="1"/>
        <v>7.4476096370325101E-4</v>
      </c>
      <c r="J5" s="359">
        <f t="shared" si="3"/>
        <v>2.1000000000000001E-2</v>
      </c>
      <c r="K5">
        <v>403</v>
      </c>
      <c r="L5">
        <v>383</v>
      </c>
      <c r="M5">
        <v>11.72</v>
      </c>
      <c r="N5">
        <v>830046</v>
      </c>
      <c r="O5" t="s">
        <v>672</v>
      </c>
      <c r="P5">
        <v>68</v>
      </c>
      <c r="Q5">
        <v>29.92</v>
      </c>
      <c r="T5">
        <v>4.8</v>
      </c>
      <c r="U5">
        <v>13</v>
      </c>
      <c r="V5">
        <v>300</v>
      </c>
      <c r="W5">
        <v>29.9</v>
      </c>
      <c r="Y5" t="s">
        <v>673</v>
      </c>
      <c r="Z5" t="s">
        <v>676</v>
      </c>
      <c r="AA5" t="s">
        <v>675</v>
      </c>
      <c r="AB5">
        <v>403</v>
      </c>
      <c r="AC5">
        <v>191500</v>
      </c>
      <c r="AD5">
        <v>0.05</v>
      </c>
      <c r="AE5">
        <v>18330</v>
      </c>
      <c r="AF5">
        <v>1</v>
      </c>
    </row>
    <row r="6" spans="1:32">
      <c r="A6" t="str">
        <f t="shared" si="0"/>
        <v>617_PPE03 2005_PPE STK03_4</v>
      </c>
      <c r="B6">
        <v>617</v>
      </c>
      <c r="C6" t="s">
        <v>670</v>
      </c>
      <c r="D6" t="s">
        <v>671</v>
      </c>
      <c r="E6" t="s">
        <v>348</v>
      </c>
      <c r="F6" s="246">
        <v>38433.504166666666</v>
      </c>
      <c r="G6" s="246">
        <v>38433.550000000003</v>
      </c>
      <c r="H6" s="53">
        <f t="shared" si="2"/>
        <v>2.1999999999999999E-2</v>
      </c>
      <c r="I6" s="53">
        <f t="shared" si="1"/>
        <v>7.4476096370325101E-4</v>
      </c>
      <c r="J6" s="359">
        <f t="shared" si="3"/>
        <v>2.1999999999999999E-2</v>
      </c>
      <c r="K6">
        <v>403</v>
      </c>
      <c r="L6">
        <v>383</v>
      </c>
      <c r="M6">
        <v>10.86</v>
      </c>
      <c r="N6">
        <v>831774</v>
      </c>
      <c r="O6" t="s">
        <v>672</v>
      </c>
      <c r="P6">
        <v>68</v>
      </c>
      <c r="Q6">
        <v>29.92</v>
      </c>
      <c r="T6">
        <v>4.8</v>
      </c>
      <c r="U6">
        <v>13</v>
      </c>
      <c r="V6">
        <v>300</v>
      </c>
      <c r="W6">
        <v>29.9</v>
      </c>
      <c r="Y6" t="s">
        <v>673</v>
      </c>
      <c r="Z6" t="s">
        <v>676</v>
      </c>
      <c r="AA6" t="s">
        <v>675</v>
      </c>
      <c r="AB6">
        <v>403</v>
      </c>
      <c r="AC6">
        <v>191500</v>
      </c>
      <c r="AD6">
        <v>0.05</v>
      </c>
      <c r="AE6">
        <v>18330</v>
      </c>
      <c r="AF6">
        <v>1</v>
      </c>
    </row>
    <row r="7" spans="1:32">
      <c r="A7" t="str">
        <f t="shared" si="0"/>
        <v>617_PPE03 2005_PPE STK03_5</v>
      </c>
      <c r="B7">
        <v>617</v>
      </c>
      <c r="C7" t="s">
        <v>670</v>
      </c>
      <c r="D7" t="s">
        <v>671</v>
      </c>
      <c r="E7" t="s">
        <v>679</v>
      </c>
      <c r="F7" s="246">
        <v>38433.558333333334</v>
      </c>
      <c r="G7" s="246">
        <v>38433.602083333331</v>
      </c>
      <c r="H7" s="53">
        <f t="shared" si="2"/>
        <v>3.1E-2</v>
      </c>
      <c r="I7" s="53">
        <f t="shared" si="1"/>
        <v>7.3562279236946877E-4</v>
      </c>
      <c r="J7" s="359">
        <f t="shared" si="3"/>
        <v>3.1E-2</v>
      </c>
      <c r="K7">
        <v>402</v>
      </c>
      <c r="L7">
        <v>383</v>
      </c>
      <c r="M7">
        <v>10.75</v>
      </c>
      <c r="N7">
        <v>824308</v>
      </c>
      <c r="O7" t="s">
        <v>672</v>
      </c>
      <c r="P7">
        <v>68</v>
      </c>
      <c r="Q7">
        <v>29.92</v>
      </c>
      <c r="T7">
        <v>4.5999999999999996</v>
      </c>
      <c r="U7">
        <v>13</v>
      </c>
      <c r="V7">
        <v>300</v>
      </c>
      <c r="W7">
        <v>29.9</v>
      </c>
      <c r="Y7" t="s">
        <v>673</v>
      </c>
      <c r="Z7" t="s">
        <v>674</v>
      </c>
      <c r="AA7" t="s">
        <v>675</v>
      </c>
      <c r="AB7">
        <v>402</v>
      </c>
      <c r="AC7">
        <v>191500</v>
      </c>
      <c r="AD7">
        <v>0.05</v>
      </c>
      <c r="AE7">
        <v>18330</v>
      </c>
      <c r="AF7">
        <v>1</v>
      </c>
    </row>
    <row r="8" spans="1:32">
      <c r="A8" t="str">
        <f t="shared" si="0"/>
        <v>617_PPE03 2005_PPE STK03_6</v>
      </c>
      <c r="B8">
        <v>617</v>
      </c>
      <c r="C8" t="s">
        <v>670</v>
      </c>
      <c r="D8" t="s">
        <v>671</v>
      </c>
      <c r="E8" t="s">
        <v>681</v>
      </c>
      <c r="F8" s="246">
        <v>38433.604861111111</v>
      </c>
      <c r="G8" s="246">
        <v>38433.649305555555</v>
      </c>
      <c r="H8" s="53">
        <f t="shared" si="2"/>
        <v>6.2E-2</v>
      </c>
      <c r="I8" s="53">
        <f t="shared" si="1"/>
        <v>7.4016367380384807E-4</v>
      </c>
      <c r="J8" s="359">
        <f t="shared" si="3"/>
        <v>6.2E-2</v>
      </c>
      <c r="K8">
        <v>403</v>
      </c>
      <c r="L8">
        <v>383</v>
      </c>
      <c r="M8">
        <v>11.48</v>
      </c>
      <c r="N8">
        <v>837679</v>
      </c>
      <c r="O8" t="s">
        <v>672</v>
      </c>
      <c r="P8">
        <v>68</v>
      </c>
      <c r="Q8">
        <v>29.92</v>
      </c>
      <c r="T8">
        <v>4.7</v>
      </c>
      <c r="U8">
        <v>13</v>
      </c>
      <c r="V8">
        <v>300</v>
      </c>
      <c r="W8">
        <v>29.9</v>
      </c>
      <c r="Y8" t="s">
        <v>673</v>
      </c>
      <c r="Z8" t="s">
        <v>674</v>
      </c>
      <c r="AA8" t="s">
        <v>675</v>
      </c>
      <c r="AB8">
        <v>403</v>
      </c>
      <c r="AC8">
        <v>191500</v>
      </c>
      <c r="AD8">
        <v>0.05</v>
      </c>
      <c r="AE8">
        <v>18330</v>
      </c>
      <c r="AF8">
        <v>1</v>
      </c>
    </row>
    <row r="9" spans="1:32">
      <c r="A9" t="str">
        <f t="shared" si="0"/>
        <v>617_PPE03 2006_PPE STK03_1</v>
      </c>
      <c r="B9">
        <v>617</v>
      </c>
      <c r="C9" t="s">
        <v>682</v>
      </c>
      <c r="D9" t="s">
        <v>671</v>
      </c>
      <c r="E9" t="s">
        <v>352</v>
      </c>
      <c r="F9" s="246">
        <v>38783.378472222219</v>
      </c>
      <c r="G9" s="246">
        <v>38783.423611111109</v>
      </c>
      <c r="H9" s="53">
        <f t="shared" si="2"/>
        <v>9.2999999999999999E-2</v>
      </c>
      <c r="I9" s="53">
        <f t="shared" si="1"/>
        <v>7.012076909720667E-4</v>
      </c>
      <c r="J9" s="359">
        <f t="shared" si="3"/>
        <v>9.2999999999999999E-2</v>
      </c>
      <c r="K9">
        <v>370</v>
      </c>
      <c r="L9">
        <v>361</v>
      </c>
      <c r="M9">
        <v>11.6</v>
      </c>
      <c r="N9">
        <v>769042</v>
      </c>
      <c r="O9" t="s">
        <v>672</v>
      </c>
      <c r="P9">
        <v>68</v>
      </c>
      <c r="Q9">
        <v>29.92</v>
      </c>
      <c r="T9">
        <v>3.8</v>
      </c>
      <c r="U9">
        <v>13.6</v>
      </c>
      <c r="V9">
        <v>282</v>
      </c>
      <c r="W9">
        <v>29.95</v>
      </c>
      <c r="Y9" t="s">
        <v>673</v>
      </c>
      <c r="Z9" t="s">
        <v>674</v>
      </c>
      <c r="AA9" t="s">
        <v>675</v>
      </c>
      <c r="AB9">
        <v>370</v>
      </c>
      <c r="AC9">
        <v>180800</v>
      </c>
      <c r="AD9">
        <v>0.1</v>
      </c>
      <c r="AE9">
        <v>18410</v>
      </c>
      <c r="AF9">
        <v>0.98</v>
      </c>
    </row>
    <row r="10" spans="1:32">
      <c r="A10" t="str">
        <f t="shared" si="0"/>
        <v>617_PPE03 2006_PPE STK03_2</v>
      </c>
      <c r="B10">
        <v>617</v>
      </c>
      <c r="C10" t="s">
        <v>682</v>
      </c>
      <c r="D10" t="s">
        <v>671</v>
      </c>
      <c r="E10" t="s">
        <v>232</v>
      </c>
      <c r="F10" s="246">
        <v>38783.433333333334</v>
      </c>
      <c r="G10" s="246">
        <v>38783.477083333331</v>
      </c>
      <c r="H10" s="53">
        <f t="shared" si="2"/>
        <v>0.109</v>
      </c>
      <c r="I10" s="53">
        <f t="shared" si="1"/>
        <v>7.012076909720667E-4</v>
      </c>
      <c r="J10" s="359">
        <f t="shared" si="3"/>
        <v>0.109</v>
      </c>
      <c r="K10">
        <v>370</v>
      </c>
      <c r="L10">
        <v>362</v>
      </c>
      <c r="M10">
        <v>9.14</v>
      </c>
      <c r="N10">
        <v>773446</v>
      </c>
      <c r="O10" t="s">
        <v>672</v>
      </c>
      <c r="P10">
        <v>68</v>
      </c>
      <c r="Q10">
        <v>29.92</v>
      </c>
      <c r="T10">
        <v>3.8</v>
      </c>
      <c r="U10">
        <v>13.7</v>
      </c>
      <c r="V10">
        <v>282</v>
      </c>
      <c r="W10">
        <v>29.95</v>
      </c>
      <c r="Y10" t="s">
        <v>673</v>
      </c>
      <c r="Z10" t="s">
        <v>676</v>
      </c>
      <c r="AA10" t="s">
        <v>675</v>
      </c>
      <c r="AB10">
        <v>370</v>
      </c>
      <c r="AC10">
        <v>180800</v>
      </c>
      <c r="AD10">
        <v>0.1</v>
      </c>
      <c r="AE10">
        <v>18410</v>
      </c>
      <c r="AF10">
        <v>0.98</v>
      </c>
    </row>
    <row r="11" spans="1:32">
      <c r="A11" t="str">
        <f t="shared" si="0"/>
        <v>617_PPE03 2006_PPE STK03_3</v>
      </c>
      <c r="B11">
        <v>617</v>
      </c>
      <c r="C11" t="s">
        <v>682</v>
      </c>
      <c r="D11" t="s">
        <v>671</v>
      </c>
      <c r="E11" t="s">
        <v>268</v>
      </c>
      <c r="F11" s="246">
        <v>38783.479166666664</v>
      </c>
      <c r="G11" s="246">
        <v>38783.525000000001</v>
      </c>
      <c r="H11" s="53">
        <f t="shared" si="2"/>
        <v>2.3E-2</v>
      </c>
      <c r="I11" s="53">
        <f>ROUND((G11-F11)*24,0)*0.00000220462*0.028317*9190*IF(T11&lt;&gt;"",20.9/(20.9-T11),20.9/(20.9-6))</f>
        <v>6.9713090207106619E-4</v>
      </c>
      <c r="J11" s="359">
        <f t="shared" si="3"/>
        <v>2.3E-2</v>
      </c>
      <c r="K11">
        <v>370</v>
      </c>
      <c r="L11">
        <v>361</v>
      </c>
      <c r="M11">
        <v>10.28</v>
      </c>
      <c r="N11">
        <v>764053</v>
      </c>
      <c r="O11" t="s">
        <v>672</v>
      </c>
      <c r="P11">
        <v>68</v>
      </c>
      <c r="Q11">
        <v>29.92</v>
      </c>
      <c r="T11">
        <v>3.7</v>
      </c>
      <c r="U11">
        <v>13.6</v>
      </c>
      <c r="V11">
        <v>284</v>
      </c>
      <c r="W11">
        <v>29.95</v>
      </c>
      <c r="Y11" t="s">
        <v>673</v>
      </c>
      <c r="Z11" t="s">
        <v>676</v>
      </c>
      <c r="AA11" t="s">
        <v>675</v>
      </c>
      <c r="AB11">
        <v>370</v>
      </c>
      <c r="AC11">
        <v>180800</v>
      </c>
      <c r="AD11">
        <v>0.1</v>
      </c>
      <c r="AE11">
        <v>18410</v>
      </c>
      <c r="AF11">
        <v>0.98</v>
      </c>
    </row>
    <row r="12" spans="1:32">
      <c r="A12" t="str">
        <f t="shared" si="0"/>
        <v>617_PPE03 2006_PPE STK03_4</v>
      </c>
      <c r="B12">
        <v>617</v>
      </c>
      <c r="C12" t="s">
        <v>682</v>
      </c>
      <c r="D12" t="s">
        <v>671</v>
      </c>
      <c r="E12" t="s">
        <v>348</v>
      </c>
      <c r="F12" s="246">
        <v>38783.529166666667</v>
      </c>
      <c r="G12" s="246">
        <v>38783.573611111111</v>
      </c>
      <c r="H12" s="53">
        <f t="shared" si="2"/>
        <v>6.3E-2</v>
      </c>
      <c r="I12" s="53">
        <f t="shared" ref="I12:I32" si="4">ROUND((G12-F12)*24,0)*0.00000220462*0.028317*9190*IF(T12&lt;&gt;"",20.9/(20.9-T12),20.9/(20.9-6))</f>
        <v>6.9713090207106619E-4</v>
      </c>
      <c r="J12" s="359">
        <f t="shared" si="3"/>
        <v>6.3E-2</v>
      </c>
      <c r="K12">
        <v>370</v>
      </c>
      <c r="L12">
        <v>361</v>
      </c>
      <c r="M12">
        <v>9.4700000000000006</v>
      </c>
      <c r="N12">
        <v>763254</v>
      </c>
      <c r="O12" t="s">
        <v>672</v>
      </c>
      <c r="P12">
        <v>68</v>
      </c>
      <c r="Q12">
        <v>29.92</v>
      </c>
      <c r="T12">
        <v>3.7</v>
      </c>
      <c r="U12">
        <v>13.6</v>
      </c>
      <c r="V12">
        <v>291</v>
      </c>
      <c r="W12">
        <v>29.95</v>
      </c>
      <c r="Y12" t="s">
        <v>673</v>
      </c>
      <c r="Z12" t="s">
        <v>676</v>
      </c>
      <c r="AA12" t="s">
        <v>675</v>
      </c>
      <c r="AB12">
        <v>370</v>
      </c>
      <c r="AC12">
        <v>180800</v>
      </c>
      <c r="AD12">
        <v>0.1</v>
      </c>
      <c r="AE12">
        <v>18410</v>
      </c>
      <c r="AF12">
        <v>0.98</v>
      </c>
    </row>
    <row r="13" spans="1:32">
      <c r="A13" t="str">
        <f t="shared" si="0"/>
        <v>617_PPE03 2006_PPE STK03_5</v>
      </c>
      <c r="B13">
        <v>617</v>
      </c>
      <c r="C13" t="s">
        <v>682</v>
      </c>
      <c r="D13" t="s">
        <v>671</v>
      </c>
      <c r="E13" t="s">
        <v>679</v>
      </c>
      <c r="F13" s="246">
        <v>38783.57708333333</v>
      </c>
      <c r="G13" s="246">
        <v>38783.62222222222</v>
      </c>
      <c r="H13" s="53">
        <f t="shared" si="2"/>
        <v>0.11</v>
      </c>
      <c r="I13" s="53">
        <f t="shared" si="4"/>
        <v>6.9713090207106619E-4</v>
      </c>
      <c r="J13" s="359">
        <f t="shared" si="3"/>
        <v>0.11</v>
      </c>
      <c r="K13">
        <v>370</v>
      </c>
      <c r="L13">
        <v>362</v>
      </c>
      <c r="M13">
        <v>9.85</v>
      </c>
      <c r="N13">
        <v>764473</v>
      </c>
      <c r="O13" t="s">
        <v>672</v>
      </c>
      <c r="P13">
        <v>68</v>
      </c>
      <c r="Q13">
        <v>29.92</v>
      </c>
      <c r="T13">
        <v>3.7</v>
      </c>
      <c r="U13">
        <v>13.6</v>
      </c>
      <c r="V13">
        <v>289</v>
      </c>
      <c r="W13">
        <v>29.95</v>
      </c>
      <c r="Y13" t="s">
        <v>673</v>
      </c>
      <c r="Z13" t="s">
        <v>674</v>
      </c>
      <c r="AA13" t="s">
        <v>675</v>
      </c>
      <c r="AB13">
        <v>370</v>
      </c>
      <c r="AC13">
        <v>180800</v>
      </c>
      <c r="AD13">
        <v>0.1</v>
      </c>
      <c r="AE13">
        <v>18410</v>
      </c>
      <c r="AF13">
        <v>0.98</v>
      </c>
    </row>
    <row r="14" spans="1:32">
      <c r="A14" t="str">
        <f t="shared" si="0"/>
        <v>617_PPE03 2006_PPE STK03_6</v>
      </c>
      <c r="B14">
        <v>617</v>
      </c>
      <c r="C14" t="s">
        <v>682</v>
      </c>
      <c r="D14" t="s">
        <v>671</v>
      </c>
      <c r="E14" t="s">
        <v>681</v>
      </c>
      <c r="F14" s="246">
        <v>38783.626388888886</v>
      </c>
      <c r="G14" s="246">
        <v>38783.67083333333</v>
      </c>
      <c r="H14" s="53">
        <f t="shared" si="2"/>
        <v>6.3E-2</v>
      </c>
      <c r="I14" s="53">
        <f t="shared" si="4"/>
        <v>6.93101243677592E-4</v>
      </c>
      <c r="J14" s="359">
        <f t="shared" si="3"/>
        <v>6.3E-2</v>
      </c>
      <c r="K14">
        <v>370</v>
      </c>
      <c r="L14">
        <v>361</v>
      </c>
      <c r="M14">
        <v>13.06</v>
      </c>
      <c r="N14">
        <v>751678</v>
      </c>
      <c r="O14" t="s">
        <v>672</v>
      </c>
      <c r="P14">
        <v>68</v>
      </c>
      <c r="Q14">
        <v>29.92</v>
      </c>
      <c r="T14">
        <v>3.6</v>
      </c>
      <c r="U14">
        <v>13.7</v>
      </c>
      <c r="V14">
        <v>288</v>
      </c>
      <c r="W14">
        <v>29.95</v>
      </c>
      <c r="Y14" t="s">
        <v>673</v>
      </c>
      <c r="Z14" t="s">
        <v>674</v>
      </c>
      <c r="AA14" t="s">
        <v>675</v>
      </c>
      <c r="AB14">
        <v>370</v>
      </c>
      <c r="AC14">
        <v>180800</v>
      </c>
      <c r="AD14">
        <v>0.1</v>
      </c>
      <c r="AE14">
        <v>18410</v>
      </c>
      <c r="AF14">
        <v>0.98</v>
      </c>
    </row>
    <row r="15" spans="1:32">
      <c r="A15" t="str">
        <f t="shared" si="0"/>
        <v>617_PPE03 2007_PPE STK03_1</v>
      </c>
      <c r="B15">
        <v>617</v>
      </c>
      <c r="C15" t="s">
        <v>221</v>
      </c>
      <c r="D15" t="s">
        <v>671</v>
      </c>
      <c r="E15" t="s">
        <v>352</v>
      </c>
      <c r="F15" s="246">
        <v>39336.434027777781</v>
      </c>
      <c r="G15" s="246">
        <v>39336.477777777778</v>
      </c>
      <c r="H15" s="53">
        <f t="shared" si="2"/>
        <v>8.0000000000000002E-3</v>
      </c>
      <c r="I15" s="53">
        <f t="shared" si="4"/>
        <v>6.93101243677592E-4</v>
      </c>
      <c r="J15" s="360">
        <f t="shared" si="3"/>
        <v>8.0000000000000002E-3</v>
      </c>
      <c r="K15">
        <v>385</v>
      </c>
      <c r="L15">
        <v>374</v>
      </c>
      <c r="M15">
        <v>11.87</v>
      </c>
      <c r="N15">
        <v>751575</v>
      </c>
      <c r="O15" t="s">
        <v>672</v>
      </c>
      <c r="P15">
        <v>68</v>
      </c>
      <c r="Q15">
        <v>29.92</v>
      </c>
      <c r="T15">
        <v>3.6</v>
      </c>
      <c r="U15">
        <v>13.6</v>
      </c>
      <c r="V15">
        <v>300</v>
      </c>
      <c r="W15">
        <v>29.97</v>
      </c>
      <c r="Y15" t="s">
        <v>673</v>
      </c>
      <c r="Z15" t="s">
        <v>674</v>
      </c>
      <c r="AA15" t="s">
        <v>675</v>
      </c>
      <c r="AB15">
        <v>385</v>
      </c>
      <c r="AC15">
        <v>191800</v>
      </c>
      <c r="AD15">
        <v>0.15</v>
      </c>
      <c r="AE15">
        <v>18337</v>
      </c>
      <c r="AF15">
        <v>0.97</v>
      </c>
    </row>
    <row r="16" spans="1:32">
      <c r="A16" t="str">
        <f t="shared" si="0"/>
        <v>617_PPE03 2007_PPE STK03_2</v>
      </c>
      <c r="B16">
        <v>617</v>
      </c>
      <c r="C16" t="s">
        <v>221</v>
      </c>
      <c r="D16" t="s">
        <v>671</v>
      </c>
      <c r="E16" t="s">
        <v>232</v>
      </c>
      <c r="F16" s="246">
        <v>39336.484027777777</v>
      </c>
      <c r="G16" s="246">
        <v>39336.52847222222</v>
      </c>
      <c r="H16" s="53">
        <f t="shared" si="2"/>
        <v>8.0000000000000002E-3</v>
      </c>
      <c r="I16" s="53">
        <f t="shared" si="4"/>
        <v>6.93101243677592E-4</v>
      </c>
      <c r="J16" s="360">
        <f t="shared" si="3"/>
        <v>8.0000000000000002E-3</v>
      </c>
      <c r="K16">
        <v>384</v>
      </c>
      <c r="L16">
        <v>374</v>
      </c>
      <c r="M16">
        <v>11.47</v>
      </c>
      <c r="N16">
        <v>749331</v>
      </c>
      <c r="O16" t="s">
        <v>672</v>
      </c>
      <c r="P16">
        <v>68</v>
      </c>
      <c r="Q16">
        <v>29.92</v>
      </c>
      <c r="T16">
        <v>3.6</v>
      </c>
      <c r="U16">
        <v>13.6</v>
      </c>
      <c r="V16">
        <v>300</v>
      </c>
      <c r="W16">
        <v>29.97</v>
      </c>
      <c r="Y16" t="s">
        <v>673</v>
      </c>
      <c r="Z16" t="s">
        <v>676</v>
      </c>
      <c r="AA16" t="s">
        <v>675</v>
      </c>
      <c r="AB16">
        <v>384</v>
      </c>
      <c r="AC16">
        <v>191800</v>
      </c>
      <c r="AD16">
        <v>0.15</v>
      </c>
      <c r="AE16">
        <v>18337</v>
      </c>
      <c r="AF16">
        <v>0.97</v>
      </c>
    </row>
    <row r="17" spans="1:32">
      <c r="A17" t="str">
        <f t="shared" si="0"/>
        <v>617_PPE03 2007_PPE STK03_3</v>
      </c>
      <c r="B17">
        <v>617</v>
      </c>
      <c r="C17" t="s">
        <v>221</v>
      </c>
      <c r="D17" t="s">
        <v>671</v>
      </c>
      <c r="E17" t="s">
        <v>268</v>
      </c>
      <c r="F17" s="246">
        <v>39336.531944444447</v>
      </c>
      <c r="G17" s="246">
        <v>39336.576388888891</v>
      </c>
      <c r="H17" s="53">
        <f t="shared" si="2"/>
        <v>7.0000000000000001E-3</v>
      </c>
      <c r="I17" s="53">
        <f t="shared" si="4"/>
        <v>6.93101243677592E-4</v>
      </c>
      <c r="J17" s="360">
        <f t="shared" si="3"/>
        <v>7.0000000000000001E-3</v>
      </c>
      <c r="K17">
        <v>382</v>
      </c>
      <c r="L17">
        <v>374</v>
      </c>
      <c r="M17">
        <v>12.68</v>
      </c>
      <c r="N17">
        <v>728999</v>
      </c>
      <c r="O17" t="s">
        <v>672</v>
      </c>
      <c r="P17">
        <v>68</v>
      </c>
      <c r="Q17">
        <v>29.92</v>
      </c>
      <c r="T17">
        <v>3.6</v>
      </c>
      <c r="U17">
        <v>13.6</v>
      </c>
      <c r="V17">
        <v>300</v>
      </c>
      <c r="W17">
        <v>29.97</v>
      </c>
      <c r="Y17" t="s">
        <v>673</v>
      </c>
      <c r="Z17" t="s">
        <v>676</v>
      </c>
      <c r="AA17" t="s">
        <v>675</v>
      </c>
      <c r="AB17">
        <v>382</v>
      </c>
      <c r="AC17">
        <v>191800</v>
      </c>
      <c r="AD17">
        <v>0.15</v>
      </c>
      <c r="AE17">
        <v>18337</v>
      </c>
      <c r="AF17">
        <v>0.97</v>
      </c>
    </row>
    <row r="18" spans="1:32">
      <c r="A18" t="str">
        <f t="shared" si="0"/>
        <v>617_PPE03 2007_PPE STK03_4</v>
      </c>
      <c r="B18">
        <v>617</v>
      </c>
      <c r="C18" t="s">
        <v>221</v>
      </c>
      <c r="D18" t="s">
        <v>671</v>
      </c>
      <c r="E18" t="s">
        <v>348</v>
      </c>
      <c r="F18" s="246">
        <v>39336.581250000003</v>
      </c>
      <c r="G18" s="246">
        <v>39336.625694444447</v>
      </c>
      <c r="H18" s="53">
        <f t="shared" si="2"/>
        <v>8.0000000000000002E-3</v>
      </c>
      <c r="I18" s="53">
        <f t="shared" si="4"/>
        <v>6.93101243677592E-4</v>
      </c>
      <c r="J18" s="360">
        <f t="shared" si="3"/>
        <v>8.0000000000000002E-3</v>
      </c>
      <c r="K18">
        <v>382</v>
      </c>
      <c r="L18">
        <v>374</v>
      </c>
      <c r="M18">
        <v>10.58</v>
      </c>
      <c r="N18">
        <v>735420</v>
      </c>
      <c r="O18" t="s">
        <v>672</v>
      </c>
      <c r="P18">
        <v>68</v>
      </c>
      <c r="Q18">
        <v>29.92</v>
      </c>
      <c r="T18">
        <v>3.6</v>
      </c>
      <c r="U18">
        <v>13.5</v>
      </c>
      <c r="V18">
        <v>300</v>
      </c>
      <c r="W18">
        <v>29.97</v>
      </c>
      <c r="Y18" t="s">
        <v>673</v>
      </c>
      <c r="Z18" t="s">
        <v>676</v>
      </c>
      <c r="AA18" t="s">
        <v>675</v>
      </c>
      <c r="AB18">
        <v>382</v>
      </c>
      <c r="AC18">
        <v>191800</v>
      </c>
      <c r="AD18">
        <v>0.15</v>
      </c>
      <c r="AE18">
        <v>18337</v>
      </c>
      <c r="AF18">
        <v>0.97</v>
      </c>
    </row>
    <row r="19" spans="1:32">
      <c r="A19" t="str">
        <f t="shared" si="0"/>
        <v>617_PPE03 2007_PPE STK03_5</v>
      </c>
      <c r="B19">
        <v>617</v>
      </c>
      <c r="C19" t="s">
        <v>221</v>
      </c>
      <c r="D19" t="s">
        <v>671</v>
      </c>
      <c r="E19" t="s">
        <v>679</v>
      </c>
      <c r="F19" s="246">
        <v>39336.628472222219</v>
      </c>
      <c r="G19" s="246">
        <v>39336.67291666667</v>
      </c>
      <c r="H19" s="53">
        <f t="shared" si="2"/>
        <v>8.0000000000000002E-3</v>
      </c>
      <c r="I19" s="53">
        <f t="shared" si="4"/>
        <v>6.9713090207106619E-4</v>
      </c>
      <c r="J19" s="360">
        <f t="shared" si="3"/>
        <v>8.0000000000000002E-3</v>
      </c>
      <c r="K19">
        <v>383</v>
      </c>
      <c r="L19">
        <v>374</v>
      </c>
      <c r="M19">
        <v>11.14</v>
      </c>
      <c r="N19">
        <v>753388</v>
      </c>
      <c r="O19" t="s">
        <v>672</v>
      </c>
      <c r="P19">
        <v>68</v>
      </c>
      <c r="Q19">
        <v>29.92</v>
      </c>
      <c r="T19">
        <v>3.7</v>
      </c>
      <c r="U19">
        <v>13.5</v>
      </c>
      <c r="V19">
        <v>300</v>
      </c>
      <c r="W19">
        <v>29.97</v>
      </c>
      <c r="Y19" t="s">
        <v>673</v>
      </c>
      <c r="Z19" t="s">
        <v>674</v>
      </c>
      <c r="AA19" t="s">
        <v>675</v>
      </c>
      <c r="AB19">
        <v>383</v>
      </c>
      <c r="AC19">
        <v>191800</v>
      </c>
      <c r="AD19">
        <v>0.15</v>
      </c>
      <c r="AE19">
        <v>18337</v>
      </c>
      <c r="AF19">
        <v>0.97</v>
      </c>
    </row>
    <row r="20" spans="1:32">
      <c r="A20" t="str">
        <f t="shared" si="0"/>
        <v>617_PPE03 2007_PPE STK03_6</v>
      </c>
      <c r="B20">
        <v>617</v>
      </c>
      <c r="C20" t="s">
        <v>221</v>
      </c>
      <c r="D20" t="s">
        <v>671</v>
      </c>
      <c r="E20" t="s">
        <v>681</v>
      </c>
      <c r="F20" s="246">
        <v>39336.677083333336</v>
      </c>
      <c r="G20" s="246">
        <v>39336.72152777778</v>
      </c>
      <c r="H20" s="53">
        <f t="shared" si="2"/>
        <v>6.0000000000000001E-3</v>
      </c>
      <c r="I20" s="53">
        <f t="shared" si="4"/>
        <v>7.012076909720667E-4</v>
      </c>
      <c r="J20" s="360">
        <f t="shared" si="3"/>
        <v>6.0000000000000001E-3</v>
      </c>
      <c r="K20">
        <v>384</v>
      </c>
      <c r="L20">
        <v>374</v>
      </c>
      <c r="M20">
        <v>11.82</v>
      </c>
      <c r="N20">
        <v>758210</v>
      </c>
      <c r="O20" t="s">
        <v>672</v>
      </c>
      <c r="P20">
        <v>68</v>
      </c>
      <c r="Q20">
        <v>29.92</v>
      </c>
      <c r="T20">
        <v>3.8</v>
      </c>
      <c r="U20">
        <v>13.4</v>
      </c>
      <c r="V20">
        <v>300</v>
      </c>
      <c r="W20">
        <v>29.97</v>
      </c>
      <c r="Y20" t="s">
        <v>673</v>
      </c>
      <c r="Z20" t="s">
        <v>674</v>
      </c>
      <c r="AA20" t="s">
        <v>675</v>
      </c>
      <c r="AB20">
        <v>384</v>
      </c>
      <c r="AC20">
        <v>191800</v>
      </c>
      <c r="AD20">
        <v>0.15</v>
      </c>
      <c r="AE20">
        <v>18337</v>
      </c>
      <c r="AF20">
        <v>0.97</v>
      </c>
    </row>
    <row r="21" spans="1:32">
      <c r="A21" t="str">
        <f t="shared" si="0"/>
        <v>617_PPE03 2008_PPE STK03_1</v>
      </c>
      <c r="B21">
        <v>617</v>
      </c>
      <c r="C21" t="s">
        <v>222</v>
      </c>
      <c r="D21" t="s">
        <v>671</v>
      </c>
      <c r="E21" t="s">
        <v>352</v>
      </c>
      <c r="F21" s="246">
        <v>39497.436111111114</v>
      </c>
      <c r="G21" s="246">
        <v>39497.481944444444</v>
      </c>
      <c r="H21" s="53">
        <f t="shared" si="2"/>
        <v>8.0000000000000002E-3</v>
      </c>
      <c r="I21" s="53">
        <f t="shared" si="4"/>
        <v>7.4016367380384807E-4</v>
      </c>
      <c r="J21" s="360">
        <f t="shared" si="3"/>
        <v>8.0000000000000002E-3</v>
      </c>
      <c r="K21">
        <v>397</v>
      </c>
      <c r="L21">
        <v>384</v>
      </c>
      <c r="M21">
        <v>7.81</v>
      </c>
      <c r="N21">
        <v>841366</v>
      </c>
      <c r="O21" t="s">
        <v>672</v>
      </c>
      <c r="P21">
        <v>68</v>
      </c>
      <c r="Q21">
        <v>29.92</v>
      </c>
      <c r="T21">
        <v>4.7</v>
      </c>
      <c r="U21">
        <v>13</v>
      </c>
      <c r="V21">
        <v>300</v>
      </c>
      <c r="W21">
        <v>30.14</v>
      </c>
      <c r="Y21" t="s">
        <v>673</v>
      </c>
      <c r="Z21" t="s">
        <v>674</v>
      </c>
      <c r="AA21" t="s">
        <v>675</v>
      </c>
      <c r="AB21">
        <v>397</v>
      </c>
      <c r="AC21">
        <v>195400</v>
      </c>
      <c r="AD21">
        <v>0.08</v>
      </c>
      <c r="AE21">
        <v>18238</v>
      </c>
      <c r="AF21">
        <v>1</v>
      </c>
    </row>
    <row r="22" spans="1:32">
      <c r="A22" t="str">
        <f t="shared" si="0"/>
        <v>617_PPE03 2008_PPE STK03_2</v>
      </c>
      <c r="B22">
        <v>617</v>
      </c>
      <c r="C22" t="s">
        <v>222</v>
      </c>
      <c r="D22" t="s">
        <v>671</v>
      </c>
      <c r="E22" t="s">
        <v>232</v>
      </c>
      <c r="F22" s="246">
        <v>39497.488194444442</v>
      </c>
      <c r="G22" s="246">
        <v>39497.53402777778</v>
      </c>
      <c r="H22" s="53">
        <f t="shared" si="2"/>
        <v>1.0999999999999999E-2</v>
      </c>
      <c r="I22" s="53">
        <f t="shared" si="4"/>
        <v>7.3562279236946877E-4</v>
      </c>
      <c r="J22" s="360">
        <f t="shared" si="3"/>
        <v>1.0999999999999999E-2</v>
      </c>
      <c r="K22">
        <v>394</v>
      </c>
      <c r="L22">
        <v>381</v>
      </c>
      <c r="M22">
        <v>8.9600000000000009</v>
      </c>
      <c r="N22">
        <v>827691</v>
      </c>
      <c r="O22" t="s">
        <v>672</v>
      </c>
      <c r="P22">
        <v>68</v>
      </c>
      <c r="Q22">
        <v>29.92</v>
      </c>
      <c r="T22">
        <v>4.5999999999999996</v>
      </c>
      <c r="U22">
        <v>13.1</v>
      </c>
      <c r="V22">
        <v>300</v>
      </c>
      <c r="W22">
        <v>30.14</v>
      </c>
      <c r="Y22" t="s">
        <v>673</v>
      </c>
      <c r="Z22" t="s">
        <v>676</v>
      </c>
      <c r="AA22" t="s">
        <v>675</v>
      </c>
      <c r="AB22">
        <v>394</v>
      </c>
      <c r="AC22">
        <v>195400</v>
      </c>
      <c r="AD22">
        <v>0.08</v>
      </c>
      <c r="AE22">
        <v>18238</v>
      </c>
      <c r="AF22">
        <v>1</v>
      </c>
    </row>
    <row r="23" spans="1:32">
      <c r="A23" t="str">
        <f t="shared" si="0"/>
        <v>617_PPE03 2008_PPE STK03_3</v>
      </c>
      <c r="B23">
        <v>617</v>
      </c>
      <c r="C23" t="s">
        <v>222</v>
      </c>
      <c r="D23" t="s">
        <v>671</v>
      </c>
      <c r="E23" t="s">
        <v>268</v>
      </c>
      <c r="F23" s="246">
        <v>39497.536111111112</v>
      </c>
      <c r="G23" s="246">
        <v>39497.581250000003</v>
      </c>
      <c r="H23" s="53">
        <f t="shared" si="2"/>
        <v>1.2E-2</v>
      </c>
      <c r="I23" s="53">
        <f t="shared" si="4"/>
        <v>7.3113728753794753E-4</v>
      </c>
      <c r="J23" s="360">
        <f t="shared" si="3"/>
        <v>1.2E-2</v>
      </c>
      <c r="K23">
        <v>395</v>
      </c>
      <c r="L23">
        <v>383</v>
      </c>
      <c r="M23">
        <v>8.27</v>
      </c>
      <c r="N23">
        <v>805961</v>
      </c>
      <c r="O23" t="s">
        <v>672</v>
      </c>
      <c r="P23">
        <v>68</v>
      </c>
      <c r="Q23">
        <v>29.92</v>
      </c>
      <c r="T23">
        <v>4.5</v>
      </c>
      <c r="U23">
        <v>13.1</v>
      </c>
      <c r="V23">
        <v>300</v>
      </c>
      <c r="W23">
        <v>30.14</v>
      </c>
      <c r="Y23" t="s">
        <v>673</v>
      </c>
      <c r="Z23" t="s">
        <v>676</v>
      </c>
      <c r="AA23" t="s">
        <v>675</v>
      </c>
      <c r="AB23">
        <v>395</v>
      </c>
      <c r="AC23">
        <v>195400</v>
      </c>
      <c r="AD23">
        <v>0.08</v>
      </c>
      <c r="AE23">
        <v>18238</v>
      </c>
      <c r="AF23">
        <v>1</v>
      </c>
    </row>
    <row r="24" spans="1:32">
      <c r="A24" t="str">
        <f t="shared" si="0"/>
        <v>617_PPE03 2008_PPE STK03_4</v>
      </c>
      <c r="B24">
        <v>617</v>
      </c>
      <c r="C24" t="s">
        <v>222</v>
      </c>
      <c r="D24" t="s">
        <v>671</v>
      </c>
      <c r="E24" t="s">
        <v>348</v>
      </c>
      <c r="F24" s="246">
        <v>39497.583333333336</v>
      </c>
      <c r="G24" s="246">
        <v>39497.62777777778</v>
      </c>
      <c r="H24" s="53">
        <f t="shared" si="2"/>
        <v>1.2999999999999999E-2</v>
      </c>
      <c r="I24" s="53">
        <f t="shared" si="4"/>
        <v>7.2670615246195997E-4</v>
      </c>
      <c r="J24" s="360">
        <f t="shared" si="3"/>
        <v>1.2999999999999999E-2</v>
      </c>
      <c r="K24">
        <v>395</v>
      </c>
      <c r="L24">
        <v>383</v>
      </c>
      <c r="M24">
        <v>8.3800000000000008</v>
      </c>
      <c r="N24">
        <v>816490</v>
      </c>
      <c r="O24" t="s">
        <v>672</v>
      </c>
      <c r="P24">
        <v>68</v>
      </c>
      <c r="Q24">
        <v>29.92</v>
      </c>
      <c r="T24">
        <v>4.4000000000000004</v>
      </c>
      <c r="U24">
        <v>13.2</v>
      </c>
      <c r="V24">
        <v>300</v>
      </c>
      <c r="W24">
        <v>30.14</v>
      </c>
      <c r="Y24" t="s">
        <v>673</v>
      </c>
      <c r="Z24" t="s">
        <v>676</v>
      </c>
      <c r="AA24" t="s">
        <v>675</v>
      </c>
      <c r="AB24">
        <v>395</v>
      </c>
      <c r="AC24">
        <v>195400</v>
      </c>
      <c r="AD24">
        <v>0.08</v>
      </c>
      <c r="AE24">
        <v>18238</v>
      </c>
      <c r="AF24">
        <v>1</v>
      </c>
    </row>
    <row r="25" spans="1:32">
      <c r="A25" t="str">
        <f t="shared" si="0"/>
        <v>617_PPE03 2008_PPE STK03_5</v>
      </c>
      <c r="B25">
        <v>617</v>
      </c>
      <c r="C25" t="s">
        <v>222</v>
      </c>
      <c r="D25" t="s">
        <v>671</v>
      </c>
      <c r="E25" t="s">
        <v>679</v>
      </c>
      <c r="F25" s="246">
        <v>39497.634722222225</v>
      </c>
      <c r="G25" s="246">
        <v>39497.679861111108</v>
      </c>
      <c r="H25" s="53">
        <f t="shared" si="2"/>
        <v>1.0999999999999999E-2</v>
      </c>
      <c r="I25" s="53">
        <f t="shared" si="4"/>
        <v>7.2670615246195997E-4</v>
      </c>
      <c r="J25" s="360">
        <f t="shared" si="3"/>
        <v>1.0999999999999999E-2</v>
      </c>
      <c r="K25">
        <v>396</v>
      </c>
      <c r="L25">
        <v>384</v>
      </c>
      <c r="M25">
        <v>10.88</v>
      </c>
      <c r="N25">
        <v>807595</v>
      </c>
      <c r="O25" t="s">
        <v>672</v>
      </c>
      <c r="P25">
        <v>68</v>
      </c>
      <c r="Q25">
        <v>29.92</v>
      </c>
      <c r="T25">
        <v>4.4000000000000004</v>
      </c>
      <c r="U25">
        <v>13.2</v>
      </c>
      <c r="V25">
        <v>300</v>
      </c>
      <c r="W25">
        <v>30.14</v>
      </c>
      <c r="Y25" t="s">
        <v>673</v>
      </c>
      <c r="Z25" t="s">
        <v>674</v>
      </c>
      <c r="AA25" t="s">
        <v>675</v>
      </c>
      <c r="AB25">
        <v>396</v>
      </c>
      <c r="AC25">
        <v>195400</v>
      </c>
      <c r="AD25">
        <v>0.08</v>
      </c>
      <c r="AE25">
        <v>18238</v>
      </c>
      <c r="AF25">
        <v>1</v>
      </c>
    </row>
    <row r="26" spans="1:32">
      <c r="A26" t="str">
        <f t="shared" si="0"/>
        <v>617_PPE03 2008_PPE STK03_6</v>
      </c>
      <c r="B26">
        <v>617</v>
      </c>
      <c r="C26" t="s">
        <v>222</v>
      </c>
      <c r="D26" t="s">
        <v>671</v>
      </c>
      <c r="E26" t="s">
        <v>681</v>
      </c>
      <c r="F26" s="246">
        <v>39497.686805555553</v>
      </c>
      <c r="G26" s="246">
        <v>39497.731944444444</v>
      </c>
      <c r="H26" s="53">
        <f t="shared" si="2"/>
        <v>8.9999999999999993E-3</v>
      </c>
      <c r="I26" s="53">
        <f t="shared" si="4"/>
        <v>7.3562279236946877E-4</v>
      </c>
      <c r="J26" s="360">
        <f t="shared" si="3"/>
        <v>8.9999999999999993E-3</v>
      </c>
      <c r="K26">
        <v>396</v>
      </c>
      <c r="L26">
        <v>383</v>
      </c>
      <c r="M26">
        <v>9.83</v>
      </c>
      <c r="N26">
        <v>821228</v>
      </c>
      <c r="O26" t="s">
        <v>672</v>
      </c>
      <c r="P26">
        <v>68</v>
      </c>
      <c r="Q26">
        <v>29.92</v>
      </c>
      <c r="T26">
        <v>4.5999999999999996</v>
      </c>
      <c r="U26">
        <v>13.2</v>
      </c>
      <c r="V26">
        <v>300</v>
      </c>
      <c r="W26">
        <v>30.14</v>
      </c>
      <c r="Y26" t="s">
        <v>673</v>
      </c>
      <c r="Z26" t="s">
        <v>674</v>
      </c>
      <c r="AA26" t="s">
        <v>675</v>
      </c>
      <c r="AB26">
        <v>396</v>
      </c>
      <c r="AC26">
        <v>195400</v>
      </c>
      <c r="AD26">
        <v>0.08</v>
      </c>
      <c r="AE26">
        <v>18238</v>
      </c>
      <c r="AF26">
        <v>1</v>
      </c>
    </row>
    <row r="27" spans="1:32">
      <c r="A27" t="str">
        <f t="shared" si="0"/>
        <v>617_PPE03 2009_PPE STK03_1</v>
      </c>
      <c r="B27">
        <v>617</v>
      </c>
      <c r="C27" t="s">
        <v>216</v>
      </c>
      <c r="D27" t="s">
        <v>671</v>
      </c>
      <c r="E27" t="s">
        <v>352</v>
      </c>
      <c r="F27" s="246">
        <v>39889.380555555559</v>
      </c>
      <c r="G27" s="246">
        <v>39889.429861111108</v>
      </c>
      <c r="H27" s="53">
        <f t="shared" si="2"/>
        <v>1E-3</v>
      </c>
      <c r="I27" s="53">
        <f t="shared" si="4"/>
        <v>7.2232840455556272E-4</v>
      </c>
      <c r="J27" s="360">
        <f t="shared" si="3"/>
        <v>1E-3</v>
      </c>
      <c r="K27">
        <v>385</v>
      </c>
      <c r="L27">
        <v>374</v>
      </c>
      <c r="M27">
        <v>11.29</v>
      </c>
      <c r="N27">
        <v>761597</v>
      </c>
      <c r="O27" t="s">
        <v>672</v>
      </c>
      <c r="P27">
        <v>68</v>
      </c>
      <c r="Q27">
        <v>29.92</v>
      </c>
      <c r="T27">
        <v>4.3</v>
      </c>
      <c r="U27">
        <v>13.2</v>
      </c>
      <c r="V27">
        <v>300</v>
      </c>
      <c r="W27">
        <v>29.97</v>
      </c>
      <c r="Y27" t="s">
        <v>673</v>
      </c>
      <c r="Z27" t="s">
        <v>676</v>
      </c>
      <c r="AA27" t="s">
        <v>675</v>
      </c>
      <c r="AB27">
        <v>385</v>
      </c>
      <c r="AC27">
        <v>188100</v>
      </c>
      <c r="AD27">
        <v>0.08</v>
      </c>
      <c r="AE27">
        <v>18408</v>
      </c>
      <c r="AF27">
        <v>0.96</v>
      </c>
    </row>
    <row r="28" spans="1:32">
      <c r="A28" t="str">
        <f t="shared" si="0"/>
        <v>617_PPE03 2009_PPE STK03_2</v>
      </c>
      <c r="B28">
        <v>617</v>
      </c>
      <c r="C28" t="s">
        <v>216</v>
      </c>
      <c r="D28" t="s">
        <v>671</v>
      </c>
      <c r="E28" t="s">
        <v>232</v>
      </c>
      <c r="F28" s="246">
        <v>39889.436805555553</v>
      </c>
      <c r="G28" s="246">
        <v>39889.48333333333</v>
      </c>
      <c r="H28" s="53">
        <f t="shared" si="2"/>
        <v>1E-3</v>
      </c>
      <c r="I28" s="53">
        <f t="shared" si="4"/>
        <v>7.180030847678048E-4</v>
      </c>
      <c r="J28" s="360">
        <f t="shared" si="3"/>
        <v>1E-3</v>
      </c>
      <c r="K28">
        <v>384</v>
      </c>
      <c r="L28">
        <v>374</v>
      </c>
      <c r="M28">
        <v>11.73</v>
      </c>
      <c r="N28">
        <v>758404</v>
      </c>
      <c r="O28" t="s">
        <v>672</v>
      </c>
      <c r="P28">
        <v>68</v>
      </c>
      <c r="Q28">
        <v>29.92</v>
      </c>
      <c r="T28">
        <v>4.2</v>
      </c>
      <c r="U28">
        <v>13.4</v>
      </c>
      <c r="V28">
        <v>300</v>
      </c>
      <c r="W28">
        <v>29.97</v>
      </c>
      <c r="Y28" t="s">
        <v>673</v>
      </c>
      <c r="Z28" t="s">
        <v>674</v>
      </c>
      <c r="AA28" t="s">
        <v>675</v>
      </c>
      <c r="AB28">
        <v>384</v>
      </c>
      <c r="AC28">
        <v>188100</v>
      </c>
      <c r="AD28">
        <v>0.08</v>
      </c>
      <c r="AE28">
        <v>18408</v>
      </c>
      <c r="AF28">
        <v>0.96</v>
      </c>
    </row>
    <row r="29" spans="1:32">
      <c r="A29" t="str">
        <f t="shared" si="0"/>
        <v>617_PPE03 2009_PPE STK03_3</v>
      </c>
      <c r="B29">
        <v>617</v>
      </c>
      <c r="C29" t="s">
        <v>216</v>
      </c>
      <c r="D29" t="s">
        <v>671</v>
      </c>
      <c r="E29" t="s">
        <v>268</v>
      </c>
      <c r="F29" s="246">
        <v>39889.489583333336</v>
      </c>
      <c r="G29" s="246">
        <v>39889.535416666666</v>
      </c>
      <c r="H29" s="53">
        <f t="shared" si="2"/>
        <v>2E-3</v>
      </c>
      <c r="I29" s="53">
        <f t="shared" si="4"/>
        <v>7.180030847678048E-4</v>
      </c>
      <c r="J29" s="360">
        <f t="shared" si="3"/>
        <v>2E-3</v>
      </c>
      <c r="K29">
        <v>384</v>
      </c>
      <c r="L29">
        <v>374</v>
      </c>
      <c r="M29">
        <v>10.7</v>
      </c>
      <c r="N29">
        <v>751853</v>
      </c>
      <c r="O29" t="s">
        <v>672</v>
      </c>
      <c r="P29">
        <v>68</v>
      </c>
      <c r="Q29">
        <v>29.92</v>
      </c>
      <c r="T29">
        <v>4.2</v>
      </c>
      <c r="U29">
        <v>13.3</v>
      </c>
      <c r="V29">
        <v>300</v>
      </c>
      <c r="W29">
        <v>29.97</v>
      </c>
      <c r="Y29" t="s">
        <v>673</v>
      </c>
      <c r="Z29" t="s">
        <v>676</v>
      </c>
      <c r="AA29" t="s">
        <v>675</v>
      </c>
      <c r="AB29">
        <v>384</v>
      </c>
      <c r="AC29">
        <v>188100</v>
      </c>
      <c r="AD29">
        <v>0.08</v>
      </c>
      <c r="AE29">
        <v>18408</v>
      </c>
      <c r="AF29">
        <v>0.96</v>
      </c>
    </row>
    <row r="30" spans="1:32">
      <c r="A30" t="str">
        <f t="shared" si="0"/>
        <v>617_PPE03 2009_PPE STK03_4</v>
      </c>
      <c r="B30">
        <v>617</v>
      </c>
      <c r="C30" t="s">
        <v>216</v>
      </c>
      <c r="D30" t="s">
        <v>671</v>
      </c>
      <c r="E30" t="s">
        <v>348</v>
      </c>
      <c r="F30" s="246">
        <v>39889.541666666664</v>
      </c>
      <c r="G30" s="246">
        <v>39889.587500000001</v>
      </c>
      <c r="H30" s="53">
        <f t="shared" si="2"/>
        <v>1E-3</v>
      </c>
      <c r="I30" s="53">
        <f t="shared" si="4"/>
        <v>7.1372925688228213E-4</v>
      </c>
      <c r="J30" s="360">
        <f t="shared" si="3"/>
        <v>1E-3</v>
      </c>
      <c r="K30">
        <v>384</v>
      </c>
      <c r="L30">
        <v>374</v>
      </c>
      <c r="M30">
        <v>11.03</v>
      </c>
      <c r="N30">
        <v>744195</v>
      </c>
      <c r="O30" t="s">
        <v>672</v>
      </c>
      <c r="P30">
        <v>68</v>
      </c>
      <c r="Q30">
        <v>29.92</v>
      </c>
      <c r="T30">
        <v>4.0999999999999996</v>
      </c>
      <c r="U30">
        <v>13.3</v>
      </c>
      <c r="V30">
        <v>300</v>
      </c>
      <c r="W30">
        <v>29.97</v>
      </c>
      <c r="Y30" t="s">
        <v>673</v>
      </c>
      <c r="Z30" t="s">
        <v>676</v>
      </c>
      <c r="AA30" t="s">
        <v>675</v>
      </c>
      <c r="AB30">
        <v>384</v>
      </c>
      <c r="AC30">
        <v>188100</v>
      </c>
      <c r="AD30">
        <v>0.08</v>
      </c>
      <c r="AE30">
        <v>18408</v>
      </c>
      <c r="AF30">
        <v>0.96</v>
      </c>
    </row>
    <row r="31" spans="1:32">
      <c r="A31" t="str">
        <f t="shared" si="0"/>
        <v>617_PPE03 2009_PPE STK03_5</v>
      </c>
      <c r="B31">
        <v>617</v>
      </c>
      <c r="C31" t="s">
        <v>216</v>
      </c>
      <c r="D31" t="s">
        <v>671</v>
      </c>
      <c r="E31" t="s">
        <v>679</v>
      </c>
      <c r="F31" s="246">
        <v>39889.594444444447</v>
      </c>
      <c r="G31" s="246">
        <v>39889.640972222223</v>
      </c>
      <c r="H31" s="53">
        <f t="shared" si="2"/>
        <v>2E-3</v>
      </c>
      <c r="I31" s="53">
        <f t="shared" si="4"/>
        <v>7.1372925688228213E-4</v>
      </c>
      <c r="J31" s="360">
        <f t="shared" si="3"/>
        <v>2E-3</v>
      </c>
      <c r="K31">
        <v>384</v>
      </c>
      <c r="L31">
        <v>374</v>
      </c>
      <c r="M31">
        <v>10.82</v>
      </c>
      <c r="N31">
        <v>748950</v>
      </c>
      <c r="O31" t="s">
        <v>672</v>
      </c>
      <c r="P31">
        <v>68</v>
      </c>
      <c r="Q31">
        <v>29.92</v>
      </c>
      <c r="T31">
        <v>4.0999999999999996</v>
      </c>
      <c r="U31">
        <v>13.3</v>
      </c>
      <c r="V31">
        <v>300</v>
      </c>
      <c r="W31">
        <v>29.97</v>
      </c>
      <c r="Y31" t="s">
        <v>673</v>
      </c>
      <c r="Z31" t="s">
        <v>674</v>
      </c>
      <c r="AA31" t="s">
        <v>675</v>
      </c>
      <c r="AB31">
        <v>384</v>
      </c>
      <c r="AC31">
        <v>188100</v>
      </c>
      <c r="AD31">
        <v>0.08</v>
      </c>
      <c r="AE31">
        <v>18408</v>
      </c>
      <c r="AF31">
        <v>0.96</v>
      </c>
    </row>
    <row r="32" spans="1:32">
      <c r="A32" t="str">
        <f t="shared" si="0"/>
        <v>617_PPE03 2009_PPE STK03_6</v>
      </c>
      <c r="B32">
        <v>617</v>
      </c>
      <c r="C32" t="s">
        <v>216</v>
      </c>
      <c r="D32" t="s">
        <v>671</v>
      </c>
      <c r="E32" t="s">
        <v>681</v>
      </c>
      <c r="F32" s="246">
        <v>39889.655555555553</v>
      </c>
      <c r="G32" s="246">
        <v>39889.701388888891</v>
      </c>
      <c r="H32" s="53">
        <f t="shared" si="2"/>
        <v>1E-3</v>
      </c>
      <c r="I32" s="53">
        <f t="shared" si="4"/>
        <v>7.1372925688228213E-4</v>
      </c>
      <c r="J32" s="360">
        <f t="shared" si="3"/>
        <v>1E-3</v>
      </c>
      <c r="K32">
        <v>384</v>
      </c>
      <c r="L32">
        <v>374</v>
      </c>
      <c r="M32">
        <v>9.23</v>
      </c>
      <c r="N32">
        <v>763859</v>
      </c>
      <c r="O32" t="s">
        <v>672</v>
      </c>
      <c r="P32">
        <v>68</v>
      </c>
      <c r="Q32">
        <v>29.92</v>
      </c>
      <c r="T32">
        <v>4.0999999999999996</v>
      </c>
      <c r="U32">
        <v>13.3</v>
      </c>
      <c r="V32">
        <v>300</v>
      </c>
      <c r="W32">
        <v>29.97</v>
      </c>
      <c r="Y32" t="s">
        <v>673</v>
      </c>
      <c r="Z32" t="s">
        <v>674</v>
      </c>
      <c r="AA32" t="s">
        <v>675</v>
      </c>
      <c r="AB32">
        <v>384</v>
      </c>
      <c r="AC32">
        <v>188100</v>
      </c>
      <c r="AD32">
        <v>0.08</v>
      </c>
      <c r="AE32">
        <v>18408</v>
      </c>
      <c r="AF32">
        <v>0.96</v>
      </c>
    </row>
    <row r="35" spans="1:22">
      <c r="B35" t="s">
        <v>579</v>
      </c>
      <c r="C35" t="s">
        <v>580</v>
      </c>
      <c r="D35" t="s">
        <v>581</v>
      </c>
      <c r="E35" t="s">
        <v>585</v>
      </c>
      <c r="F35" t="s">
        <v>584</v>
      </c>
      <c r="G35" t="s">
        <v>596</v>
      </c>
      <c r="H35" t="s">
        <v>597</v>
      </c>
      <c r="K35" t="s">
        <v>598</v>
      </c>
      <c r="L35" t="s">
        <v>599</v>
      </c>
      <c r="M35" t="s">
        <v>602</v>
      </c>
      <c r="N35" t="s">
        <v>603</v>
      </c>
      <c r="O35" t="s">
        <v>604</v>
      </c>
      <c r="P35" t="s">
        <v>605</v>
      </c>
      <c r="Q35" t="s">
        <v>606</v>
      </c>
      <c r="R35" t="s">
        <v>607</v>
      </c>
      <c r="S35" t="s">
        <v>608</v>
      </c>
      <c r="T35" t="s">
        <v>609</v>
      </c>
      <c r="U35" t="s">
        <v>610</v>
      </c>
      <c r="V35" t="s">
        <v>610</v>
      </c>
    </row>
    <row r="36" spans="1:22">
      <c r="A36" t="str">
        <f>B36&amp;"_"&amp;C36&amp;"_"&amp;D36&amp;"_"&amp;E36</f>
        <v>617_PPE03 2005_PPE STK03_1</v>
      </c>
      <c r="B36">
        <v>617</v>
      </c>
      <c r="C36" t="s">
        <v>670</v>
      </c>
      <c r="D36" t="s">
        <v>671</v>
      </c>
      <c r="E36" t="s">
        <v>352</v>
      </c>
      <c r="F36" t="s">
        <v>629</v>
      </c>
      <c r="K36" t="b">
        <v>0</v>
      </c>
      <c r="M36">
        <v>4.9000000000000002E-2</v>
      </c>
      <c r="N36" t="s">
        <v>192</v>
      </c>
      <c r="O36" t="b">
        <v>0</v>
      </c>
      <c r="S36" t="b">
        <v>0</v>
      </c>
    </row>
    <row r="37" spans="1:22">
      <c r="A37" t="str">
        <f t="shared" ref="A37:A65" si="5">B37&amp;"_"&amp;C37&amp;"_"&amp;D37&amp;"_"&amp;E37</f>
        <v>617_PPE03 2005_PPE STK03_2</v>
      </c>
      <c r="B37">
        <v>617</v>
      </c>
      <c r="C37" t="s">
        <v>670</v>
      </c>
      <c r="D37" t="s">
        <v>671</v>
      </c>
      <c r="E37" t="s">
        <v>232</v>
      </c>
      <c r="F37" t="s">
        <v>629</v>
      </c>
      <c r="K37" t="b">
        <v>0</v>
      </c>
      <c r="M37">
        <v>2.5000000000000001E-2</v>
      </c>
      <c r="N37" t="s">
        <v>192</v>
      </c>
      <c r="O37" t="b">
        <v>0</v>
      </c>
      <c r="S37" t="b">
        <v>0</v>
      </c>
    </row>
    <row r="38" spans="1:22">
      <c r="A38" t="str">
        <f t="shared" si="5"/>
        <v>617_PPE03 2005_PPE STK03_3</v>
      </c>
      <c r="B38">
        <v>617</v>
      </c>
      <c r="C38" t="s">
        <v>670</v>
      </c>
      <c r="D38" t="s">
        <v>671</v>
      </c>
      <c r="E38" t="s">
        <v>268</v>
      </c>
      <c r="F38" t="s">
        <v>629</v>
      </c>
      <c r="K38" t="b">
        <v>0</v>
      </c>
      <c r="M38">
        <v>2.1000000000000001E-2</v>
      </c>
      <c r="N38" t="s">
        <v>192</v>
      </c>
      <c r="O38" t="b">
        <v>0</v>
      </c>
      <c r="S38" t="b">
        <v>0</v>
      </c>
    </row>
    <row r="39" spans="1:22">
      <c r="A39" t="str">
        <f t="shared" si="5"/>
        <v>617_PPE03 2005_PPE STK03_4</v>
      </c>
      <c r="B39">
        <v>617</v>
      </c>
      <c r="C39" t="s">
        <v>670</v>
      </c>
      <c r="D39" t="s">
        <v>671</v>
      </c>
      <c r="E39" t="s">
        <v>348</v>
      </c>
      <c r="F39" t="s">
        <v>629</v>
      </c>
      <c r="K39" t="b">
        <v>0</v>
      </c>
      <c r="M39">
        <v>2.1999999999999999E-2</v>
      </c>
      <c r="N39" t="s">
        <v>192</v>
      </c>
      <c r="O39" t="b">
        <v>0</v>
      </c>
      <c r="S39" t="b">
        <v>0</v>
      </c>
    </row>
    <row r="40" spans="1:22">
      <c r="A40" t="str">
        <f t="shared" si="5"/>
        <v>617_PPE03 2005_PPE STK03_5</v>
      </c>
      <c r="B40">
        <v>617</v>
      </c>
      <c r="C40" t="s">
        <v>670</v>
      </c>
      <c r="D40" t="s">
        <v>671</v>
      </c>
      <c r="E40" t="s">
        <v>679</v>
      </c>
      <c r="F40" t="s">
        <v>629</v>
      </c>
      <c r="K40" t="b">
        <v>0</v>
      </c>
      <c r="M40">
        <v>3.1E-2</v>
      </c>
      <c r="N40" t="s">
        <v>192</v>
      </c>
      <c r="O40" t="b">
        <v>0</v>
      </c>
      <c r="S40" t="b">
        <v>0</v>
      </c>
    </row>
    <row r="41" spans="1:22">
      <c r="A41" t="str">
        <f t="shared" si="5"/>
        <v>617_PPE03 2005_PPE STK03_6</v>
      </c>
      <c r="B41">
        <v>617</v>
      </c>
      <c r="C41" t="s">
        <v>670</v>
      </c>
      <c r="D41" t="s">
        <v>671</v>
      </c>
      <c r="E41" t="s">
        <v>681</v>
      </c>
      <c r="F41" t="s">
        <v>629</v>
      </c>
      <c r="K41" t="b">
        <v>0</v>
      </c>
      <c r="M41">
        <v>6.2E-2</v>
      </c>
      <c r="N41" t="s">
        <v>192</v>
      </c>
      <c r="O41" t="b">
        <v>0</v>
      </c>
      <c r="S41" t="b">
        <v>0</v>
      </c>
    </row>
    <row r="42" spans="1:22">
      <c r="A42" t="str">
        <f t="shared" si="5"/>
        <v>617_PPE03 2006_PPE STK03_1</v>
      </c>
      <c r="B42">
        <v>617</v>
      </c>
      <c r="C42" t="s">
        <v>682</v>
      </c>
      <c r="D42" t="s">
        <v>671</v>
      </c>
      <c r="E42" t="s">
        <v>352</v>
      </c>
      <c r="F42" t="s">
        <v>629</v>
      </c>
      <c r="K42" t="b">
        <v>0</v>
      </c>
      <c r="M42">
        <v>9.2999999999999999E-2</v>
      </c>
      <c r="N42" t="s">
        <v>192</v>
      </c>
      <c r="O42" t="b">
        <v>0</v>
      </c>
      <c r="S42" t="b">
        <v>0</v>
      </c>
    </row>
    <row r="43" spans="1:22">
      <c r="A43" t="str">
        <f t="shared" si="5"/>
        <v>617_PPE03 2006_PPE STK03_2</v>
      </c>
      <c r="B43">
        <v>617</v>
      </c>
      <c r="C43" t="s">
        <v>682</v>
      </c>
      <c r="D43" t="s">
        <v>671</v>
      </c>
      <c r="E43" t="s">
        <v>232</v>
      </c>
      <c r="F43" t="s">
        <v>629</v>
      </c>
      <c r="K43" t="b">
        <v>0</v>
      </c>
      <c r="M43">
        <v>0.109</v>
      </c>
      <c r="N43" t="s">
        <v>192</v>
      </c>
      <c r="O43" t="b">
        <v>0</v>
      </c>
      <c r="S43" t="b">
        <v>0</v>
      </c>
    </row>
    <row r="44" spans="1:22">
      <c r="A44" t="str">
        <f t="shared" si="5"/>
        <v>617_PPE03 2006_PPE STK03_3</v>
      </c>
      <c r="B44">
        <v>617</v>
      </c>
      <c r="C44" t="s">
        <v>682</v>
      </c>
      <c r="D44" t="s">
        <v>671</v>
      </c>
      <c r="E44" t="s">
        <v>268</v>
      </c>
      <c r="F44" t="s">
        <v>629</v>
      </c>
      <c r="K44" t="b">
        <v>0</v>
      </c>
      <c r="M44">
        <v>2.3E-2</v>
      </c>
      <c r="N44" t="s">
        <v>192</v>
      </c>
      <c r="O44" t="b">
        <v>0</v>
      </c>
      <c r="S44" t="b">
        <v>0</v>
      </c>
    </row>
    <row r="45" spans="1:22">
      <c r="A45" t="str">
        <f t="shared" si="5"/>
        <v>617_PPE03 2006_PPE STK03_4</v>
      </c>
      <c r="B45">
        <v>617</v>
      </c>
      <c r="C45" t="s">
        <v>682</v>
      </c>
      <c r="D45" t="s">
        <v>671</v>
      </c>
      <c r="E45" t="s">
        <v>348</v>
      </c>
      <c r="F45" t="s">
        <v>629</v>
      </c>
      <c r="K45" t="b">
        <v>0</v>
      </c>
      <c r="M45">
        <v>6.3E-2</v>
      </c>
      <c r="N45" t="s">
        <v>192</v>
      </c>
      <c r="O45" t="b">
        <v>0</v>
      </c>
      <c r="S45" t="b">
        <v>0</v>
      </c>
    </row>
    <row r="46" spans="1:22">
      <c r="A46" t="str">
        <f t="shared" si="5"/>
        <v>617_PPE03 2006_PPE STK03_5</v>
      </c>
      <c r="B46">
        <v>617</v>
      </c>
      <c r="C46" t="s">
        <v>682</v>
      </c>
      <c r="D46" t="s">
        <v>671</v>
      </c>
      <c r="E46" t="s">
        <v>679</v>
      </c>
      <c r="F46" t="s">
        <v>629</v>
      </c>
      <c r="K46" t="b">
        <v>0</v>
      </c>
      <c r="M46">
        <v>0.11</v>
      </c>
      <c r="N46" t="s">
        <v>192</v>
      </c>
      <c r="O46" t="b">
        <v>0</v>
      </c>
      <c r="S46" t="b">
        <v>0</v>
      </c>
    </row>
    <row r="47" spans="1:22">
      <c r="A47" t="str">
        <f t="shared" si="5"/>
        <v>617_PPE03 2006_PPE STK03_6</v>
      </c>
      <c r="B47">
        <v>617</v>
      </c>
      <c r="C47" t="s">
        <v>682</v>
      </c>
      <c r="D47" t="s">
        <v>671</v>
      </c>
      <c r="E47" t="s">
        <v>681</v>
      </c>
      <c r="F47" t="s">
        <v>629</v>
      </c>
      <c r="K47" t="b">
        <v>0</v>
      </c>
      <c r="M47">
        <v>6.3E-2</v>
      </c>
      <c r="N47" t="s">
        <v>192</v>
      </c>
      <c r="O47" t="b">
        <v>0</v>
      </c>
      <c r="S47" t="b">
        <v>0</v>
      </c>
    </row>
    <row r="48" spans="1:22">
      <c r="A48" t="str">
        <f t="shared" si="5"/>
        <v>617_PPE03 2007_PPE STK03_1</v>
      </c>
      <c r="B48">
        <v>617</v>
      </c>
      <c r="C48" t="s">
        <v>221</v>
      </c>
      <c r="D48" t="s">
        <v>671</v>
      </c>
      <c r="E48" t="s">
        <v>352</v>
      </c>
      <c r="F48" t="s">
        <v>629</v>
      </c>
      <c r="K48" t="b">
        <v>0</v>
      </c>
      <c r="M48">
        <v>8.0000000000000002E-3</v>
      </c>
      <c r="N48" t="s">
        <v>192</v>
      </c>
      <c r="O48" t="b">
        <v>0</v>
      </c>
      <c r="S48" t="b">
        <v>0</v>
      </c>
    </row>
    <row r="49" spans="1:19">
      <c r="A49" t="str">
        <f t="shared" si="5"/>
        <v>617_PPE03 2007_PPE STK03_2</v>
      </c>
      <c r="B49">
        <v>617</v>
      </c>
      <c r="C49" t="s">
        <v>221</v>
      </c>
      <c r="D49" t="s">
        <v>671</v>
      </c>
      <c r="E49" t="s">
        <v>232</v>
      </c>
      <c r="F49" t="s">
        <v>629</v>
      </c>
      <c r="K49" t="b">
        <v>0</v>
      </c>
      <c r="M49">
        <v>8.0000000000000002E-3</v>
      </c>
      <c r="N49" t="s">
        <v>192</v>
      </c>
      <c r="O49" t="b">
        <v>0</v>
      </c>
      <c r="S49" t="b">
        <v>0</v>
      </c>
    </row>
    <row r="50" spans="1:19">
      <c r="A50" t="str">
        <f t="shared" si="5"/>
        <v>617_PPE03 2007_PPE STK03_3</v>
      </c>
      <c r="B50">
        <v>617</v>
      </c>
      <c r="C50" t="s">
        <v>221</v>
      </c>
      <c r="D50" t="s">
        <v>671</v>
      </c>
      <c r="E50" t="s">
        <v>268</v>
      </c>
      <c r="F50" t="s">
        <v>629</v>
      </c>
      <c r="K50" t="b">
        <v>0</v>
      </c>
      <c r="M50">
        <v>7.0000000000000001E-3</v>
      </c>
      <c r="N50" t="s">
        <v>192</v>
      </c>
      <c r="O50" t="b">
        <v>0</v>
      </c>
      <c r="S50" t="b">
        <v>0</v>
      </c>
    </row>
    <row r="51" spans="1:19">
      <c r="A51" t="str">
        <f t="shared" si="5"/>
        <v>617_PPE03 2007_PPE STK03_4</v>
      </c>
      <c r="B51">
        <v>617</v>
      </c>
      <c r="C51" t="s">
        <v>221</v>
      </c>
      <c r="D51" t="s">
        <v>671</v>
      </c>
      <c r="E51" t="s">
        <v>348</v>
      </c>
      <c r="F51" t="s">
        <v>629</v>
      </c>
      <c r="K51" t="b">
        <v>0</v>
      </c>
      <c r="M51">
        <v>8.0000000000000002E-3</v>
      </c>
      <c r="N51" t="s">
        <v>192</v>
      </c>
      <c r="O51" t="b">
        <v>0</v>
      </c>
      <c r="S51" t="b">
        <v>0</v>
      </c>
    </row>
    <row r="52" spans="1:19">
      <c r="A52" t="str">
        <f t="shared" si="5"/>
        <v>617_PPE03 2007_PPE STK03_5</v>
      </c>
      <c r="B52">
        <v>617</v>
      </c>
      <c r="C52" t="s">
        <v>221</v>
      </c>
      <c r="D52" t="s">
        <v>671</v>
      </c>
      <c r="E52" t="s">
        <v>679</v>
      </c>
      <c r="F52" t="s">
        <v>629</v>
      </c>
      <c r="K52" t="b">
        <v>0</v>
      </c>
      <c r="M52">
        <v>8.0000000000000002E-3</v>
      </c>
      <c r="N52" t="s">
        <v>192</v>
      </c>
      <c r="O52" t="b">
        <v>0</v>
      </c>
      <c r="S52" t="b">
        <v>0</v>
      </c>
    </row>
    <row r="53" spans="1:19">
      <c r="A53" t="str">
        <f t="shared" si="5"/>
        <v>617_PPE03 2007_PPE STK03_6</v>
      </c>
      <c r="B53">
        <v>617</v>
      </c>
      <c r="C53" t="s">
        <v>221</v>
      </c>
      <c r="D53" t="s">
        <v>671</v>
      </c>
      <c r="E53" t="s">
        <v>681</v>
      </c>
      <c r="F53" t="s">
        <v>629</v>
      </c>
      <c r="K53" t="b">
        <v>0</v>
      </c>
      <c r="M53">
        <v>6.0000000000000001E-3</v>
      </c>
      <c r="N53" t="s">
        <v>192</v>
      </c>
      <c r="O53" t="b">
        <v>0</v>
      </c>
      <c r="S53" t="b">
        <v>0</v>
      </c>
    </row>
    <row r="54" spans="1:19">
      <c r="A54" t="str">
        <f t="shared" si="5"/>
        <v>617_PPE03 2008_PPE STK03_1</v>
      </c>
      <c r="B54">
        <v>617</v>
      </c>
      <c r="C54" t="s">
        <v>222</v>
      </c>
      <c r="D54" t="s">
        <v>671</v>
      </c>
      <c r="E54" t="s">
        <v>352</v>
      </c>
      <c r="F54" t="s">
        <v>629</v>
      </c>
      <c r="K54" t="b">
        <v>0</v>
      </c>
      <c r="M54">
        <v>8.0000000000000002E-3</v>
      </c>
      <c r="N54" t="s">
        <v>192</v>
      </c>
      <c r="O54" t="b">
        <v>0</v>
      </c>
      <c r="S54" t="b">
        <v>0</v>
      </c>
    </row>
    <row r="55" spans="1:19">
      <c r="A55" t="str">
        <f t="shared" si="5"/>
        <v>617_PPE03 2008_PPE STK03_2</v>
      </c>
      <c r="B55">
        <v>617</v>
      </c>
      <c r="C55" t="s">
        <v>222</v>
      </c>
      <c r="D55" t="s">
        <v>671</v>
      </c>
      <c r="E55" t="s">
        <v>232</v>
      </c>
      <c r="F55" t="s">
        <v>629</v>
      </c>
      <c r="K55" t="b">
        <v>0</v>
      </c>
      <c r="M55">
        <v>1.0999999999999999E-2</v>
      </c>
      <c r="N55" t="s">
        <v>192</v>
      </c>
      <c r="O55" t="b">
        <v>0</v>
      </c>
      <c r="S55" t="b">
        <v>0</v>
      </c>
    </row>
    <row r="56" spans="1:19">
      <c r="A56" t="str">
        <f t="shared" si="5"/>
        <v>617_PPE03 2008_PPE STK03_3</v>
      </c>
      <c r="B56">
        <v>617</v>
      </c>
      <c r="C56" t="s">
        <v>222</v>
      </c>
      <c r="D56" t="s">
        <v>671</v>
      </c>
      <c r="E56" t="s">
        <v>268</v>
      </c>
      <c r="F56" t="s">
        <v>629</v>
      </c>
      <c r="K56" t="b">
        <v>0</v>
      </c>
      <c r="M56">
        <v>1.2E-2</v>
      </c>
      <c r="N56" t="s">
        <v>192</v>
      </c>
      <c r="O56" t="b">
        <v>0</v>
      </c>
      <c r="S56" t="b">
        <v>0</v>
      </c>
    </row>
    <row r="57" spans="1:19">
      <c r="A57" t="str">
        <f t="shared" si="5"/>
        <v>617_PPE03 2008_PPE STK03_4</v>
      </c>
      <c r="B57">
        <v>617</v>
      </c>
      <c r="C57" t="s">
        <v>222</v>
      </c>
      <c r="D57" t="s">
        <v>671</v>
      </c>
      <c r="E57" t="s">
        <v>348</v>
      </c>
      <c r="F57" t="s">
        <v>629</v>
      </c>
      <c r="K57" t="b">
        <v>0</v>
      </c>
      <c r="M57">
        <v>1.2999999999999999E-2</v>
      </c>
      <c r="N57" t="s">
        <v>192</v>
      </c>
      <c r="O57" t="b">
        <v>0</v>
      </c>
      <c r="S57" t="b">
        <v>0</v>
      </c>
    </row>
    <row r="58" spans="1:19">
      <c r="A58" t="str">
        <f t="shared" si="5"/>
        <v>617_PPE03 2008_PPE STK03_5</v>
      </c>
      <c r="B58">
        <v>617</v>
      </c>
      <c r="C58" t="s">
        <v>222</v>
      </c>
      <c r="D58" t="s">
        <v>671</v>
      </c>
      <c r="E58" t="s">
        <v>679</v>
      </c>
      <c r="F58" t="s">
        <v>629</v>
      </c>
      <c r="K58" t="b">
        <v>0</v>
      </c>
      <c r="M58">
        <v>1.0999999999999999E-2</v>
      </c>
      <c r="N58" t="s">
        <v>192</v>
      </c>
      <c r="O58" t="b">
        <v>0</v>
      </c>
      <c r="S58" t="b">
        <v>0</v>
      </c>
    </row>
    <row r="59" spans="1:19">
      <c r="A59" t="str">
        <f t="shared" si="5"/>
        <v>617_PPE03 2008_PPE STK03_6</v>
      </c>
      <c r="B59">
        <v>617</v>
      </c>
      <c r="C59" t="s">
        <v>222</v>
      </c>
      <c r="D59" t="s">
        <v>671</v>
      </c>
      <c r="E59" t="s">
        <v>681</v>
      </c>
      <c r="F59" t="s">
        <v>629</v>
      </c>
      <c r="K59" t="b">
        <v>0</v>
      </c>
      <c r="M59">
        <v>8.9999999999999993E-3</v>
      </c>
      <c r="N59" t="s">
        <v>192</v>
      </c>
      <c r="O59" t="b">
        <v>0</v>
      </c>
      <c r="S59" t="b">
        <v>0</v>
      </c>
    </row>
    <row r="60" spans="1:19">
      <c r="A60" t="str">
        <f t="shared" si="5"/>
        <v>617_PPE03 2009_PPE STK03_1</v>
      </c>
      <c r="B60">
        <v>617</v>
      </c>
      <c r="C60" t="s">
        <v>216</v>
      </c>
      <c r="D60" t="s">
        <v>671</v>
      </c>
      <c r="E60" t="s">
        <v>352</v>
      </c>
      <c r="F60" t="s">
        <v>629</v>
      </c>
      <c r="K60" t="b">
        <v>0</v>
      </c>
      <c r="M60">
        <v>1E-3</v>
      </c>
      <c r="N60" t="s">
        <v>192</v>
      </c>
      <c r="O60" t="b">
        <v>0</v>
      </c>
      <c r="S60" t="b">
        <v>0</v>
      </c>
    </row>
    <row r="61" spans="1:19">
      <c r="A61" t="str">
        <f t="shared" si="5"/>
        <v>617_PPE03 2009_PPE STK03_2</v>
      </c>
      <c r="B61">
        <v>617</v>
      </c>
      <c r="C61" t="s">
        <v>216</v>
      </c>
      <c r="D61" t="s">
        <v>671</v>
      </c>
      <c r="E61" t="s">
        <v>232</v>
      </c>
      <c r="F61" t="s">
        <v>629</v>
      </c>
      <c r="K61" t="b">
        <v>0</v>
      </c>
      <c r="M61">
        <v>1E-3</v>
      </c>
      <c r="N61" t="s">
        <v>192</v>
      </c>
      <c r="O61" t="b">
        <v>0</v>
      </c>
      <c r="S61" t="b">
        <v>0</v>
      </c>
    </row>
    <row r="62" spans="1:19">
      <c r="A62" t="str">
        <f t="shared" si="5"/>
        <v>617_PPE03 2009_PPE STK03_3</v>
      </c>
      <c r="B62">
        <v>617</v>
      </c>
      <c r="C62" t="s">
        <v>216</v>
      </c>
      <c r="D62" t="s">
        <v>671</v>
      </c>
      <c r="E62" t="s">
        <v>268</v>
      </c>
      <c r="F62" t="s">
        <v>629</v>
      </c>
      <c r="K62" t="b">
        <v>0</v>
      </c>
      <c r="M62">
        <v>2E-3</v>
      </c>
      <c r="N62" t="s">
        <v>192</v>
      </c>
      <c r="O62" t="b">
        <v>0</v>
      </c>
      <c r="S62" t="b">
        <v>0</v>
      </c>
    </row>
    <row r="63" spans="1:19">
      <c r="A63" t="str">
        <f t="shared" si="5"/>
        <v>617_PPE03 2009_PPE STK03_4</v>
      </c>
      <c r="B63">
        <v>617</v>
      </c>
      <c r="C63" t="s">
        <v>216</v>
      </c>
      <c r="D63" t="s">
        <v>671</v>
      </c>
      <c r="E63" t="s">
        <v>348</v>
      </c>
      <c r="F63" t="s">
        <v>629</v>
      </c>
      <c r="K63" t="b">
        <v>0</v>
      </c>
      <c r="M63">
        <v>1E-3</v>
      </c>
      <c r="N63" t="s">
        <v>192</v>
      </c>
      <c r="O63" t="b">
        <v>0</v>
      </c>
      <c r="S63" t="b">
        <v>0</v>
      </c>
    </row>
    <row r="64" spans="1:19">
      <c r="A64" t="str">
        <f t="shared" si="5"/>
        <v>617_PPE03 2009_PPE STK03_5</v>
      </c>
      <c r="B64">
        <v>617</v>
      </c>
      <c r="C64" t="s">
        <v>216</v>
      </c>
      <c r="D64" t="s">
        <v>671</v>
      </c>
      <c r="E64" t="s">
        <v>679</v>
      </c>
      <c r="F64" t="s">
        <v>629</v>
      </c>
      <c r="K64" t="b">
        <v>0</v>
      </c>
      <c r="M64">
        <v>2E-3</v>
      </c>
      <c r="N64" t="s">
        <v>192</v>
      </c>
      <c r="O64" t="b">
        <v>0</v>
      </c>
      <c r="S64" t="b">
        <v>0</v>
      </c>
    </row>
    <row r="65" spans="1:19">
      <c r="A65" t="str">
        <f t="shared" si="5"/>
        <v>617_PPE03 2009_PPE STK03_6</v>
      </c>
      <c r="B65">
        <v>617</v>
      </c>
      <c r="C65" t="s">
        <v>216</v>
      </c>
      <c r="D65" t="s">
        <v>671</v>
      </c>
      <c r="E65" t="s">
        <v>681</v>
      </c>
      <c r="F65" t="s">
        <v>629</v>
      </c>
      <c r="K65" t="b">
        <v>0</v>
      </c>
      <c r="M65">
        <v>1E-3</v>
      </c>
      <c r="N65" t="s">
        <v>192</v>
      </c>
      <c r="O65" t="b">
        <v>0</v>
      </c>
      <c r="S65" t="b">
        <v>0</v>
      </c>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sheetPr>
    <tabColor theme="2" tint="-0.249977111117893"/>
    <pageSetUpPr fitToPage="1"/>
  </sheetPr>
  <dimension ref="A1:O200"/>
  <sheetViews>
    <sheetView workbookViewId="0">
      <selection activeCell="B2" sqref="B2:B6"/>
    </sheetView>
  </sheetViews>
  <sheetFormatPr defaultRowHeight="12.75"/>
  <cols>
    <col min="1" max="2" width="24.5703125" style="1" customWidth="1"/>
    <col min="3" max="3" width="27.28515625" style="1" customWidth="1"/>
    <col min="4" max="4" width="20.7109375" style="1" customWidth="1"/>
    <col min="5" max="5" width="17.7109375" style="1" customWidth="1"/>
    <col min="6" max="6" width="16.7109375" style="1" bestFit="1" customWidth="1"/>
    <col min="7" max="7" width="14.140625" style="1" customWidth="1"/>
    <col min="8" max="8" width="13.7109375" style="1" customWidth="1"/>
    <col min="9" max="9" width="14.85546875" style="1" customWidth="1"/>
    <col min="10" max="10" width="11.28515625" style="1" customWidth="1"/>
    <col min="11" max="11" width="11.42578125" style="1" customWidth="1"/>
    <col min="12" max="12" width="14.7109375" style="1" customWidth="1"/>
    <col min="13" max="14" width="9.140625" style="1"/>
    <col min="15" max="15" width="11.42578125" style="1" customWidth="1"/>
    <col min="16" max="16384" width="9.140625" style="1"/>
  </cols>
  <sheetData>
    <row r="1" spans="1:15">
      <c r="A1" s="368"/>
      <c r="B1" s="490" t="s">
        <v>903</v>
      </c>
      <c r="C1" s="491"/>
      <c r="D1" s="491"/>
      <c r="E1" s="491"/>
      <c r="F1" s="492"/>
      <c r="G1" s="492"/>
      <c r="H1" s="492"/>
      <c r="I1" s="492"/>
      <c r="J1" s="492"/>
      <c r="K1" s="492"/>
      <c r="L1" s="493"/>
    </row>
    <row r="2" spans="1:15" ht="38.25">
      <c r="A2" s="369" t="s">
        <v>0</v>
      </c>
      <c r="B2" s="2" t="s">
        <v>178</v>
      </c>
      <c r="C2" s="2"/>
      <c r="D2" s="2"/>
      <c r="E2" s="2"/>
      <c r="F2" s="2"/>
      <c r="G2" s="2"/>
      <c r="H2" s="2"/>
      <c r="I2" s="2"/>
      <c r="J2" s="2"/>
      <c r="K2" s="2"/>
      <c r="L2" s="2"/>
      <c r="O2" s="370"/>
    </row>
    <row r="3" spans="1:15">
      <c r="A3" s="371">
        <v>1</v>
      </c>
      <c r="B3" s="361">
        <v>1.350210970464135E-2</v>
      </c>
      <c r="C3" s="372"/>
      <c r="D3" s="372"/>
      <c r="E3" s="372"/>
      <c r="F3" s="4"/>
      <c r="G3" s="5"/>
      <c r="H3" s="5"/>
      <c r="I3" s="5"/>
      <c r="J3" s="5"/>
      <c r="K3" s="5"/>
      <c r="L3" s="5"/>
      <c r="O3" s="373"/>
    </row>
    <row r="4" spans="1:15">
      <c r="A4" s="374">
        <v>2</v>
      </c>
      <c r="B4" s="362">
        <v>2.2888757147700424E-2</v>
      </c>
      <c r="C4" s="4"/>
      <c r="D4" s="4"/>
      <c r="E4" s="4"/>
      <c r="F4" s="4"/>
      <c r="G4" s="5"/>
      <c r="H4" s="5"/>
      <c r="I4" s="5"/>
      <c r="J4" s="5"/>
      <c r="K4" s="5"/>
      <c r="L4" s="5"/>
    </row>
    <row r="5" spans="1:15">
      <c r="A5" s="374">
        <v>3</v>
      </c>
      <c r="B5" s="362">
        <v>7.5949367088607597E-2</v>
      </c>
      <c r="C5" s="4"/>
      <c r="D5" s="4"/>
      <c r="E5" s="4"/>
      <c r="F5" s="4"/>
      <c r="G5" s="5"/>
      <c r="H5" s="5"/>
      <c r="I5" s="5"/>
      <c r="J5" s="5"/>
      <c r="K5" s="5"/>
      <c r="L5" s="5"/>
    </row>
    <row r="6" spans="1:15">
      <c r="A6" s="374">
        <v>4</v>
      </c>
      <c r="B6" s="362">
        <v>0.10801687763713079</v>
      </c>
      <c r="C6" s="4"/>
      <c r="D6" s="4"/>
      <c r="E6" s="5"/>
      <c r="F6" s="4"/>
      <c r="G6" s="4"/>
      <c r="H6" s="4"/>
      <c r="I6" s="4"/>
      <c r="J6" s="4"/>
      <c r="K6" s="4"/>
      <c r="L6" s="375"/>
    </row>
    <row r="7" spans="1:15">
      <c r="A7" s="374">
        <v>5</v>
      </c>
      <c r="B7" s="376"/>
      <c r="C7" s="377"/>
      <c r="D7" s="6"/>
      <c r="E7" s="6"/>
      <c r="F7" s="6"/>
      <c r="G7" s="6"/>
      <c r="H7" s="6"/>
      <c r="I7" s="6"/>
      <c r="J7" s="6"/>
      <c r="K7" s="6"/>
      <c r="L7" s="378"/>
    </row>
    <row r="8" spans="1:15">
      <c r="A8" s="374">
        <v>6</v>
      </c>
      <c r="B8" s="376"/>
      <c r="C8" s="377"/>
      <c r="D8" s="6"/>
      <c r="E8" s="6"/>
      <c r="F8" s="6"/>
      <c r="G8" s="6"/>
      <c r="H8" s="6"/>
      <c r="I8" s="6"/>
      <c r="J8" s="6"/>
      <c r="K8" s="6"/>
      <c r="L8" s="378"/>
    </row>
    <row r="9" spans="1:15">
      <c r="A9" s="374">
        <v>7</v>
      </c>
      <c r="B9" s="377"/>
      <c r="C9" s="377"/>
      <c r="D9" s="6"/>
      <c r="E9" s="6"/>
      <c r="F9" s="6"/>
      <c r="G9" s="6"/>
      <c r="H9" s="6"/>
      <c r="I9" s="6"/>
      <c r="J9" s="6"/>
      <c r="K9" s="6"/>
      <c r="L9" s="378"/>
    </row>
    <row r="10" spans="1:15">
      <c r="A10" s="374">
        <v>8</v>
      </c>
      <c r="B10" s="377"/>
      <c r="C10" s="377"/>
      <c r="D10" s="6"/>
      <c r="E10" s="6"/>
      <c r="F10" s="6"/>
      <c r="G10" s="6"/>
      <c r="H10" s="6"/>
      <c r="I10" s="6"/>
      <c r="J10" s="6"/>
      <c r="K10" s="6"/>
      <c r="L10" s="378"/>
    </row>
    <row r="11" spans="1:15">
      <c r="A11" s="374">
        <v>9</v>
      </c>
      <c r="B11" s="377"/>
      <c r="C11" s="377"/>
      <c r="D11" s="6"/>
      <c r="E11" s="6"/>
      <c r="F11" s="6"/>
      <c r="G11" s="6"/>
      <c r="H11" s="6"/>
      <c r="I11" s="6"/>
      <c r="J11" s="6"/>
      <c r="K11" s="6"/>
      <c r="L11" s="378"/>
    </row>
    <row r="12" spans="1:15">
      <c r="A12" s="374">
        <v>10</v>
      </c>
      <c r="B12" s="377"/>
      <c r="C12" s="377"/>
      <c r="D12" s="6"/>
      <c r="E12" s="6"/>
      <c r="F12" s="6"/>
      <c r="G12" s="6"/>
      <c r="H12" s="6"/>
      <c r="I12" s="6"/>
      <c r="J12" s="6"/>
      <c r="K12" s="6"/>
      <c r="L12" s="378"/>
    </row>
    <row r="13" spans="1:15">
      <c r="A13" s="374">
        <v>11</v>
      </c>
      <c r="B13" s="377"/>
      <c r="C13" s="377"/>
      <c r="D13" s="6"/>
      <c r="E13" s="6"/>
      <c r="F13" s="6"/>
      <c r="G13" s="6"/>
      <c r="H13" s="6"/>
      <c r="I13" s="6"/>
      <c r="J13" s="6"/>
      <c r="K13" s="6"/>
      <c r="L13" s="378"/>
    </row>
    <row r="14" spans="1:15">
      <c r="A14" s="374">
        <v>12</v>
      </c>
      <c r="B14" s="4"/>
      <c r="C14" s="6"/>
      <c r="D14" s="6"/>
      <c r="E14" s="6"/>
      <c r="F14" s="6"/>
      <c r="G14" s="6"/>
      <c r="H14" s="6"/>
      <c r="I14" s="6"/>
      <c r="J14" s="6"/>
      <c r="K14" s="6"/>
      <c r="L14" s="378"/>
    </row>
    <row r="15" spans="1:15">
      <c r="A15" s="374">
        <v>13</v>
      </c>
      <c r="B15" s="4"/>
      <c r="C15" s="6"/>
      <c r="D15" s="6"/>
      <c r="E15" s="6"/>
      <c r="F15" s="6"/>
      <c r="G15" s="6"/>
      <c r="H15" s="6"/>
      <c r="I15" s="6"/>
      <c r="J15" s="6"/>
      <c r="K15" s="6"/>
      <c r="L15" s="378"/>
    </row>
    <row r="16" spans="1:15">
      <c r="A16" s="374">
        <v>14</v>
      </c>
      <c r="B16" s="4"/>
      <c r="C16" s="6"/>
      <c r="D16" s="6"/>
      <c r="E16" s="6"/>
      <c r="F16" s="6"/>
      <c r="G16" s="6"/>
      <c r="H16" s="6"/>
      <c r="I16" s="6"/>
      <c r="J16" s="6"/>
      <c r="K16" s="6"/>
      <c r="L16" s="378"/>
    </row>
    <row r="17" spans="1:12">
      <c r="A17" s="374">
        <v>15</v>
      </c>
      <c r="B17" s="6"/>
      <c r="C17" s="6"/>
      <c r="D17" s="6"/>
      <c r="E17" s="6"/>
      <c r="F17" s="6"/>
      <c r="G17" s="6"/>
      <c r="H17" s="6"/>
      <c r="I17" s="6"/>
      <c r="J17" s="6"/>
      <c r="K17" s="6"/>
      <c r="L17" s="378"/>
    </row>
    <row r="18" spans="1:12">
      <c r="A18" s="374">
        <v>16</v>
      </c>
      <c r="B18" s="6"/>
      <c r="C18" s="6"/>
      <c r="D18" s="6"/>
      <c r="E18" s="6"/>
      <c r="F18" s="6"/>
      <c r="G18" s="6"/>
      <c r="H18" s="6"/>
      <c r="I18" s="6"/>
      <c r="J18" s="6"/>
      <c r="K18" s="6"/>
      <c r="L18" s="378"/>
    </row>
    <row r="19" spans="1:12">
      <c r="A19" s="374">
        <v>17</v>
      </c>
      <c r="B19" s="6"/>
      <c r="C19" s="6"/>
      <c r="D19" s="6"/>
      <c r="E19" s="6"/>
      <c r="F19" s="6"/>
      <c r="G19" s="6"/>
      <c r="H19" s="6"/>
      <c r="I19" s="6"/>
      <c r="J19" s="6"/>
      <c r="K19" s="6"/>
      <c r="L19" s="378"/>
    </row>
    <row r="20" spans="1:12">
      <c r="A20" s="374">
        <v>18</v>
      </c>
      <c r="B20" s="6"/>
      <c r="C20" s="6"/>
      <c r="D20" s="6"/>
      <c r="E20" s="6"/>
      <c r="F20" s="6"/>
      <c r="G20" s="6"/>
      <c r="H20" s="6"/>
      <c r="I20" s="6"/>
      <c r="J20" s="6"/>
      <c r="K20" s="6"/>
      <c r="L20" s="378"/>
    </row>
    <row r="21" spans="1:12">
      <c r="A21" s="374">
        <v>19</v>
      </c>
      <c r="B21" s="6"/>
      <c r="C21" s="6"/>
      <c r="D21" s="6"/>
      <c r="E21" s="6"/>
      <c r="F21" s="6"/>
      <c r="G21" s="6"/>
      <c r="H21" s="6"/>
      <c r="I21" s="6"/>
      <c r="J21" s="6"/>
      <c r="K21" s="6"/>
      <c r="L21" s="378"/>
    </row>
    <row r="22" spans="1:12">
      <c r="A22" s="374">
        <v>20</v>
      </c>
      <c r="B22" s="6"/>
      <c r="C22" s="6"/>
      <c r="D22" s="6"/>
      <c r="E22" s="6"/>
      <c r="F22" s="6"/>
      <c r="G22" s="6"/>
      <c r="H22" s="6"/>
      <c r="I22" s="6"/>
      <c r="J22" s="6"/>
      <c r="K22" s="6"/>
      <c r="L22" s="378"/>
    </row>
    <row r="23" spans="1:12">
      <c r="A23" s="374">
        <v>21</v>
      </c>
      <c r="B23" s="6"/>
      <c r="C23" s="6"/>
      <c r="D23" s="6"/>
      <c r="E23" s="6"/>
      <c r="F23" s="6"/>
      <c r="G23" s="6"/>
      <c r="H23" s="6"/>
      <c r="I23" s="6"/>
      <c r="J23" s="6"/>
      <c r="K23" s="6"/>
      <c r="L23" s="378"/>
    </row>
    <row r="24" spans="1:12">
      <c r="A24" s="374">
        <v>22</v>
      </c>
      <c r="B24" s="6"/>
      <c r="C24" s="6"/>
      <c r="D24" s="6"/>
      <c r="E24" s="6"/>
      <c r="F24" s="6"/>
      <c r="G24" s="6"/>
      <c r="H24" s="6"/>
      <c r="I24" s="6"/>
      <c r="J24" s="6"/>
      <c r="K24" s="6"/>
      <c r="L24" s="378"/>
    </row>
    <row r="25" spans="1:12">
      <c r="A25" s="374">
        <v>23</v>
      </c>
      <c r="B25" s="6"/>
      <c r="C25" s="6"/>
      <c r="D25" s="6"/>
      <c r="E25" s="6"/>
      <c r="F25" s="6"/>
      <c r="G25" s="6"/>
      <c r="H25" s="6"/>
      <c r="I25" s="6"/>
      <c r="J25" s="6"/>
      <c r="K25" s="6"/>
      <c r="L25" s="378"/>
    </row>
    <row r="26" spans="1:12">
      <c r="A26" s="374">
        <v>24</v>
      </c>
      <c r="B26" s="6"/>
      <c r="C26" s="6"/>
      <c r="D26" s="6"/>
      <c r="E26" s="6"/>
      <c r="F26" s="6"/>
      <c r="G26" s="6"/>
      <c r="H26" s="6"/>
      <c r="I26" s="6"/>
      <c r="J26" s="6"/>
      <c r="K26" s="6"/>
      <c r="L26" s="378"/>
    </row>
    <row r="27" spans="1:12">
      <c r="A27" s="374">
        <v>25</v>
      </c>
      <c r="B27" s="6"/>
      <c r="C27" s="6"/>
      <c r="D27" s="6"/>
      <c r="E27" s="6"/>
      <c r="F27" s="6"/>
      <c r="G27" s="6"/>
      <c r="H27" s="6"/>
      <c r="I27" s="6"/>
      <c r="J27" s="6"/>
      <c r="K27" s="6"/>
      <c r="L27" s="378"/>
    </row>
    <row r="28" spans="1:12">
      <c r="A28" s="374">
        <v>26</v>
      </c>
      <c r="B28" s="6"/>
      <c r="C28" s="6"/>
      <c r="D28" s="6"/>
      <c r="E28" s="6"/>
      <c r="F28" s="6"/>
      <c r="G28" s="6"/>
      <c r="H28" s="6"/>
      <c r="I28" s="6"/>
      <c r="J28" s="6"/>
      <c r="K28" s="6"/>
      <c r="L28" s="378"/>
    </row>
    <row r="29" spans="1:12">
      <c r="A29" s="374">
        <v>27</v>
      </c>
      <c r="B29" s="6"/>
      <c r="C29" s="6"/>
      <c r="D29" s="6"/>
      <c r="E29" s="6"/>
      <c r="F29" s="6"/>
      <c r="G29" s="6"/>
      <c r="H29" s="6"/>
      <c r="I29" s="6"/>
      <c r="J29" s="6"/>
      <c r="K29" s="6"/>
      <c r="L29" s="378"/>
    </row>
    <row r="30" spans="1:12">
      <c r="A30" s="374">
        <v>28</v>
      </c>
      <c r="B30" s="6"/>
      <c r="C30" s="6"/>
      <c r="D30" s="6"/>
      <c r="E30" s="6"/>
      <c r="F30" s="6"/>
      <c r="G30" s="6"/>
      <c r="H30" s="6"/>
      <c r="I30" s="6"/>
      <c r="J30" s="6"/>
      <c r="K30" s="6"/>
      <c r="L30" s="378"/>
    </row>
    <row r="31" spans="1:12">
      <c r="A31" s="374">
        <v>29</v>
      </c>
      <c r="B31" s="6"/>
      <c r="C31" s="6"/>
      <c r="D31" s="6"/>
      <c r="E31" s="6"/>
      <c r="F31" s="6"/>
      <c r="G31" s="6"/>
      <c r="H31" s="6"/>
      <c r="I31" s="6"/>
      <c r="J31" s="6"/>
      <c r="K31" s="6"/>
      <c r="L31" s="379"/>
    </row>
    <row r="32" spans="1:12">
      <c r="A32" s="374">
        <v>30</v>
      </c>
      <c r="B32" s="6"/>
      <c r="C32" s="6"/>
      <c r="D32" s="6"/>
      <c r="E32" s="6"/>
      <c r="F32" s="6"/>
      <c r="G32" s="6"/>
      <c r="H32" s="6"/>
      <c r="I32" s="6"/>
      <c r="J32" s="6"/>
      <c r="K32" s="6"/>
      <c r="L32" s="379"/>
    </row>
    <row r="33" spans="1:12">
      <c r="A33" s="374">
        <v>31</v>
      </c>
      <c r="B33" s="6"/>
      <c r="C33" s="6"/>
      <c r="D33" s="6"/>
      <c r="E33" s="6"/>
      <c r="F33" s="6"/>
      <c r="G33" s="6"/>
      <c r="H33" s="6"/>
      <c r="I33" s="6"/>
      <c r="J33" s="6"/>
      <c r="K33" s="6"/>
      <c r="L33" s="379"/>
    </row>
    <row r="34" spans="1:12">
      <c r="A34" s="374">
        <v>32</v>
      </c>
      <c r="B34" s="6"/>
      <c r="C34" s="6"/>
      <c r="D34" s="6"/>
      <c r="E34" s="6"/>
      <c r="F34" s="6"/>
      <c r="G34" s="6"/>
      <c r="H34" s="6"/>
      <c r="I34" s="6"/>
      <c r="J34" s="6"/>
      <c r="K34" s="6"/>
      <c r="L34" s="379"/>
    </row>
    <row r="35" spans="1:12">
      <c r="A35" s="380">
        <v>33</v>
      </c>
      <c r="B35" s="7"/>
      <c r="C35" s="7"/>
      <c r="D35" s="7"/>
      <c r="E35" s="7"/>
      <c r="F35" s="7"/>
      <c r="G35" s="7"/>
      <c r="H35" s="7"/>
      <c r="I35" s="7"/>
      <c r="J35" s="7"/>
      <c r="K35" s="6"/>
      <c r="L35" s="379"/>
    </row>
    <row r="36" spans="1:12">
      <c r="A36" s="380">
        <v>34</v>
      </c>
      <c r="B36" s="7"/>
      <c r="C36" s="7"/>
      <c r="D36" s="7"/>
      <c r="E36" s="7"/>
      <c r="F36" s="7"/>
      <c r="G36" s="7"/>
      <c r="H36" s="7"/>
      <c r="I36" s="7"/>
      <c r="J36" s="7"/>
      <c r="K36" s="6"/>
      <c r="L36" s="379"/>
    </row>
    <row r="37" spans="1:12">
      <c r="A37" s="381">
        <v>35</v>
      </c>
      <c r="B37" s="382"/>
      <c r="C37" s="382"/>
      <c r="D37" s="382"/>
      <c r="E37" s="382"/>
      <c r="F37" s="382"/>
      <c r="G37" s="382"/>
      <c r="H37" s="382"/>
      <c r="I37" s="382"/>
      <c r="J37" s="382"/>
      <c r="K37" s="383"/>
      <c r="L37" s="384"/>
    </row>
    <row r="38" spans="1:12" s="387" customFormat="1" ht="15">
      <c r="A38" s="494" t="s">
        <v>904</v>
      </c>
      <c r="B38" s="495"/>
      <c r="C38" s="495"/>
      <c r="D38" s="495"/>
      <c r="E38" s="385"/>
      <c r="F38" s="385"/>
      <c r="G38" s="385"/>
      <c r="H38" s="385"/>
      <c r="I38" s="385"/>
      <c r="J38" s="385"/>
      <c r="K38" s="386"/>
      <c r="L38" s="386"/>
    </row>
    <row r="39" spans="1:12" s="387" customFormat="1">
      <c r="A39" s="388"/>
      <c r="B39" s="385"/>
      <c r="C39" s="385"/>
      <c r="D39" s="385"/>
      <c r="E39" s="385"/>
      <c r="F39" s="385"/>
      <c r="G39" s="385"/>
      <c r="H39" s="385"/>
      <c r="I39" s="385"/>
      <c r="J39" s="385"/>
      <c r="K39" s="386"/>
      <c r="L39" s="386"/>
    </row>
    <row r="40" spans="1:12" s="387" customFormat="1">
      <c r="A40" s="389" t="s">
        <v>1</v>
      </c>
      <c r="B40" s="390" t="s">
        <v>2</v>
      </c>
      <c r="C40" s="385"/>
      <c r="D40" s="385"/>
      <c r="E40" s="385"/>
      <c r="F40" s="385"/>
      <c r="G40" s="385"/>
      <c r="H40" s="385"/>
      <c r="I40" s="385"/>
      <c r="J40" s="385"/>
      <c r="K40" s="386"/>
      <c r="L40" s="386"/>
    </row>
    <row r="41" spans="1:12" s="387" customFormat="1">
      <c r="A41" s="389" t="s">
        <v>3</v>
      </c>
      <c r="B41" s="391">
        <f>COUNT(B3:L37)</f>
        <v>4</v>
      </c>
      <c r="C41" s="385"/>
      <c r="D41" s="385"/>
      <c r="E41" s="385"/>
      <c r="F41" s="385"/>
      <c r="G41" s="385"/>
      <c r="H41" s="385"/>
      <c r="I41" s="385"/>
      <c r="J41" s="385"/>
      <c r="K41" s="386"/>
      <c r="L41" s="386"/>
    </row>
    <row r="42" spans="1:12" s="387" customFormat="1">
      <c r="A42" s="389" t="s">
        <v>4</v>
      </c>
      <c r="B42" s="391">
        <f>KURT(B3:L37)</f>
        <v>-3.423662562692245</v>
      </c>
      <c r="C42" s="385"/>
      <c r="D42" s="385"/>
      <c r="E42" s="385"/>
      <c r="F42" s="385"/>
      <c r="G42" s="385"/>
      <c r="H42" s="385"/>
      <c r="I42" s="385"/>
      <c r="J42" s="385"/>
      <c r="K42" s="386"/>
      <c r="L42" s="386"/>
    </row>
    <row r="43" spans="1:12" s="387" customFormat="1">
      <c r="A43" s="389" t="s">
        <v>5</v>
      </c>
      <c r="B43" s="391">
        <f>SQRT((B41^2-1)/((B41-3)*(B41+5)))</f>
        <v>1.2909944487358056</v>
      </c>
      <c r="C43" s="385"/>
      <c r="D43" s="385"/>
      <c r="E43" s="385"/>
      <c r="F43" s="385"/>
      <c r="G43" s="385"/>
      <c r="H43" s="385"/>
      <c r="I43" s="385"/>
      <c r="J43" s="385"/>
      <c r="K43" s="386"/>
      <c r="L43" s="386"/>
    </row>
    <row r="44" spans="1:12" s="387" customFormat="1">
      <c r="A44" s="389" t="s">
        <v>6</v>
      </c>
      <c r="B44" s="391" t="str">
        <f>IF(ABS(B42/B43)&gt;NORMSINV(1-0.05/2),"non normal","normal")</f>
        <v>non normal</v>
      </c>
      <c r="C44" s="385"/>
      <c r="D44" s="385"/>
      <c r="E44" s="385"/>
      <c r="F44" s="385"/>
      <c r="G44" s="385"/>
      <c r="H44" s="385"/>
      <c r="I44" s="385"/>
      <c r="J44" s="385"/>
      <c r="K44" s="386"/>
      <c r="L44" s="386"/>
    </row>
    <row r="45" spans="1:12" s="387" customFormat="1">
      <c r="A45" s="389" t="s">
        <v>7</v>
      </c>
      <c r="B45" s="391">
        <f>SKEW(B3:L37)</f>
        <v>0.38755049291912408</v>
      </c>
      <c r="C45" s="385"/>
      <c r="D45" s="385"/>
      <c r="E45" s="385"/>
      <c r="F45" s="385"/>
      <c r="G45" s="385"/>
      <c r="H45" s="385"/>
      <c r="I45" s="385"/>
      <c r="J45" s="385"/>
      <c r="K45" s="386"/>
      <c r="L45" s="386"/>
    </row>
    <row r="46" spans="1:12" s="387" customFormat="1">
      <c r="A46" s="389" t="s">
        <v>8</v>
      </c>
      <c r="B46" s="391">
        <f>SQRT((6*B41*(B41-1))/((B41-2)*(B41+1)*(B41+3)))</f>
        <v>1.0141851056742199</v>
      </c>
      <c r="C46" s="385"/>
      <c r="D46" s="385"/>
      <c r="E46" s="385"/>
      <c r="F46" s="385"/>
      <c r="G46" s="385"/>
      <c r="H46" s="385"/>
      <c r="I46" s="385"/>
      <c r="J46" s="385"/>
      <c r="K46" s="386"/>
      <c r="L46" s="386"/>
    </row>
    <row r="47" spans="1:12" s="387" customFormat="1" ht="15">
      <c r="A47" s="389" t="s">
        <v>9</v>
      </c>
      <c r="B47" s="391" t="str">
        <f>IF(ABS(B45/B46)&gt;NORMSINV(1-0.05/2),"non normal","normal")</f>
        <v>normal</v>
      </c>
      <c r="C47" s="385"/>
      <c r="D47" s="392"/>
      <c r="E47" s="392"/>
      <c r="F47" s="385"/>
      <c r="G47" s="385"/>
      <c r="H47" s="385"/>
      <c r="I47" s="385"/>
      <c r="J47" s="385"/>
      <c r="K47" s="386"/>
      <c r="L47" s="386"/>
    </row>
    <row r="48" spans="1:12" s="387" customFormat="1" ht="15">
      <c r="A48" s="388"/>
      <c r="B48" s="393"/>
      <c r="C48" s="385"/>
      <c r="D48" s="392"/>
      <c r="E48" s="392"/>
      <c r="F48" s="385"/>
      <c r="G48" s="385"/>
      <c r="H48" s="385"/>
      <c r="I48" s="385"/>
      <c r="J48" s="385"/>
      <c r="K48" s="386"/>
      <c r="L48" s="386"/>
    </row>
    <row r="49" spans="1:12" s="387" customFormat="1" ht="15">
      <c r="A49" s="388"/>
      <c r="B49" s="393"/>
      <c r="C49" s="385"/>
      <c r="D49" s="392"/>
      <c r="E49" s="392"/>
      <c r="F49" s="385"/>
      <c r="G49" s="385"/>
      <c r="H49" s="385"/>
      <c r="I49" s="385"/>
      <c r="J49" s="385"/>
      <c r="K49" s="386"/>
      <c r="L49" s="386"/>
    </row>
    <row r="50" spans="1:12">
      <c r="A50" s="8" t="s">
        <v>10</v>
      </c>
      <c r="B50" s="9">
        <f t="shared" ref="B50:L50" si="0">COUNT(B3:B37)</f>
        <v>4</v>
      </c>
      <c r="C50" s="9">
        <f t="shared" si="0"/>
        <v>0</v>
      </c>
      <c r="D50" s="9">
        <f t="shared" si="0"/>
        <v>0</v>
      </c>
      <c r="E50" s="9">
        <f t="shared" si="0"/>
        <v>0</v>
      </c>
      <c r="F50" s="9">
        <f t="shared" si="0"/>
        <v>0</v>
      </c>
      <c r="G50" s="9">
        <f t="shared" si="0"/>
        <v>0</v>
      </c>
      <c r="H50" s="9">
        <f t="shared" si="0"/>
        <v>0</v>
      </c>
      <c r="I50" s="9">
        <f t="shared" si="0"/>
        <v>0</v>
      </c>
      <c r="J50" s="9">
        <f t="shared" si="0"/>
        <v>0</v>
      </c>
      <c r="K50" s="9">
        <f t="shared" si="0"/>
        <v>0</v>
      </c>
      <c r="L50" s="9">
        <f t="shared" si="0"/>
        <v>0</v>
      </c>
    </row>
    <row r="51" spans="1:12">
      <c r="A51" s="9"/>
      <c r="B51" s="9"/>
      <c r="C51" s="9"/>
      <c r="D51" s="9"/>
      <c r="E51" s="9"/>
      <c r="F51" s="9"/>
      <c r="G51" s="9"/>
      <c r="H51" s="9"/>
      <c r="I51" s="9"/>
      <c r="J51" s="9"/>
      <c r="K51" s="9"/>
      <c r="L51" s="9"/>
    </row>
    <row r="52" spans="1:12">
      <c r="A52" s="8" t="s">
        <v>11</v>
      </c>
      <c r="B52" s="10">
        <f>COUNTA(B2:L2)</f>
        <v>1</v>
      </c>
      <c r="C52" s="9"/>
      <c r="D52" s="9"/>
      <c r="E52" s="9"/>
      <c r="F52" s="9"/>
      <c r="G52" s="9"/>
      <c r="H52" s="9"/>
      <c r="I52" s="9"/>
      <c r="J52" s="9"/>
      <c r="K52" s="9"/>
      <c r="L52" s="9"/>
    </row>
    <row r="53" spans="1:12">
      <c r="A53" s="9"/>
      <c r="B53" s="9"/>
      <c r="C53" s="9"/>
      <c r="D53" s="9"/>
      <c r="E53" s="9"/>
      <c r="F53" s="9"/>
      <c r="G53" s="9"/>
      <c r="H53" s="9"/>
      <c r="I53" s="9"/>
      <c r="J53" s="9"/>
      <c r="K53" s="9"/>
      <c r="L53" s="9"/>
    </row>
    <row r="54" spans="1:12">
      <c r="A54" s="9"/>
      <c r="B54" s="9"/>
      <c r="C54" s="9"/>
      <c r="D54" s="9"/>
      <c r="E54" s="9"/>
      <c r="F54" s="9"/>
      <c r="G54" s="9"/>
      <c r="H54" s="9"/>
      <c r="I54" s="11"/>
      <c r="J54" s="11"/>
    </row>
    <row r="55" spans="1:12">
      <c r="A55" s="8" t="s">
        <v>12</v>
      </c>
      <c r="B55" s="9">
        <f>SUM(B50:L50)</f>
        <v>4</v>
      </c>
      <c r="C55" s="9"/>
      <c r="D55" s="9"/>
      <c r="E55" s="9"/>
      <c r="F55" s="9"/>
      <c r="G55" s="9"/>
      <c r="H55" s="9"/>
      <c r="I55" s="9"/>
      <c r="J55" s="9"/>
    </row>
    <row r="56" spans="1:12">
      <c r="A56" s="9"/>
      <c r="B56" s="9"/>
      <c r="C56" s="9"/>
      <c r="D56" s="9"/>
      <c r="E56" s="9"/>
      <c r="F56" s="9"/>
      <c r="G56" s="9"/>
      <c r="H56" s="9"/>
      <c r="I56" s="9"/>
      <c r="J56" s="9"/>
    </row>
    <row r="57" spans="1:12">
      <c r="A57" s="9"/>
      <c r="B57" s="9"/>
      <c r="C57" s="9"/>
      <c r="D57" s="9"/>
      <c r="E57" s="9"/>
      <c r="F57" s="9"/>
      <c r="G57" s="9"/>
      <c r="H57" s="9"/>
      <c r="I57" s="9"/>
      <c r="J57" s="9"/>
    </row>
    <row r="58" spans="1:12">
      <c r="A58" s="9"/>
      <c r="B58" s="9"/>
      <c r="C58" s="9"/>
      <c r="D58" s="9"/>
      <c r="E58" s="9"/>
      <c r="F58" s="9"/>
      <c r="G58" s="9"/>
      <c r="H58" s="9"/>
      <c r="I58" s="11"/>
      <c r="J58" s="11"/>
    </row>
    <row r="59" spans="1:12">
      <c r="A59" s="9"/>
      <c r="B59" s="9"/>
      <c r="C59" s="9"/>
      <c r="D59" s="9"/>
      <c r="E59" s="9"/>
      <c r="F59" s="9"/>
      <c r="G59" s="9"/>
      <c r="H59" s="9"/>
      <c r="I59" s="11"/>
      <c r="J59" s="11"/>
    </row>
    <row r="60" spans="1:12">
      <c r="A60" s="9"/>
      <c r="B60" s="12">
        <f>B55-1</f>
        <v>3</v>
      </c>
      <c r="C60" s="9"/>
      <c r="D60" s="9"/>
      <c r="E60" s="9"/>
      <c r="F60" s="9"/>
      <c r="G60" s="9"/>
      <c r="H60" s="9"/>
      <c r="I60" s="11"/>
      <c r="J60" s="11"/>
    </row>
    <row r="61" spans="1:12">
      <c r="A61" s="9"/>
      <c r="B61" s="9"/>
      <c r="C61" s="9"/>
      <c r="D61" s="9"/>
      <c r="E61" s="9"/>
      <c r="F61" s="9"/>
      <c r="G61" s="9"/>
      <c r="H61" s="9"/>
      <c r="I61" s="11"/>
      <c r="J61" s="11"/>
    </row>
    <row r="62" spans="1:12">
      <c r="A62" s="9"/>
      <c r="B62" s="9"/>
      <c r="C62" s="9"/>
      <c r="D62" s="9"/>
      <c r="E62" s="9"/>
      <c r="F62" s="9"/>
      <c r="G62" s="9"/>
      <c r="H62" s="9"/>
      <c r="I62" s="11"/>
      <c r="J62" s="11"/>
    </row>
    <row r="63" spans="1:12">
      <c r="A63" s="9"/>
      <c r="B63" s="9"/>
      <c r="C63" s="9"/>
      <c r="D63" s="9"/>
      <c r="E63" s="9"/>
      <c r="F63" s="9"/>
      <c r="G63" s="9"/>
      <c r="H63" s="9"/>
      <c r="I63" s="11"/>
      <c r="J63" s="11"/>
    </row>
    <row r="64" spans="1:12">
      <c r="A64" s="9"/>
      <c r="B64" s="9"/>
      <c r="C64" s="9"/>
      <c r="D64" s="9"/>
      <c r="E64" s="9"/>
      <c r="F64" s="9"/>
      <c r="G64" s="13"/>
      <c r="H64" s="9"/>
      <c r="I64" s="11"/>
      <c r="J64" s="11"/>
    </row>
    <row r="65" spans="1:12">
      <c r="A65" s="8" t="s">
        <v>13</v>
      </c>
      <c r="B65" s="9"/>
      <c r="C65" s="9"/>
      <c r="D65" s="9"/>
      <c r="E65" s="9"/>
      <c r="F65" s="9"/>
      <c r="G65" s="9"/>
      <c r="H65" s="9"/>
      <c r="I65" s="11"/>
      <c r="J65" s="11"/>
    </row>
    <row r="66" spans="1:12">
      <c r="A66" s="9"/>
      <c r="B66" s="9"/>
      <c r="C66" s="9"/>
      <c r="D66" s="9"/>
      <c r="E66" s="9"/>
      <c r="F66" s="9"/>
      <c r="G66" s="9"/>
      <c r="H66" s="9"/>
      <c r="I66" s="11"/>
      <c r="J66" s="11"/>
    </row>
    <row r="67" spans="1:12">
      <c r="A67" s="9" t="s">
        <v>14</v>
      </c>
      <c r="B67" s="13">
        <f t="shared" ref="B67:L67" si="1">AVERAGE(B3:B37)</f>
        <v>5.508927789452004E-2</v>
      </c>
      <c r="C67" s="13" t="e">
        <f t="shared" si="1"/>
        <v>#DIV/0!</v>
      </c>
      <c r="D67" s="13" t="e">
        <f t="shared" si="1"/>
        <v>#DIV/0!</v>
      </c>
      <c r="E67" s="13" t="e">
        <f t="shared" si="1"/>
        <v>#DIV/0!</v>
      </c>
      <c r="F67" s="13" t="e">
        <f t="shared" si="1"/>
        <v>#DIV/0!</v>
      </c>
      <c r="G67" s="13" t="e">
        <f t="shared" si="1"/>
        <v>#DIV/0!</v>
      </c>
      <c r="H67" s="13" t="e">
        <f t="shared" si="1"/>
        <v>#DIV/0!</v>
      </c>
      <c r="I67" s="13" t="e">
        <f t="shared" si="1"/>
        <v>#DIV/0!</v>
      </c>
      <c r="J67" s="13" t="e">
        <f t="shared" si="1"/>
        <v>#DIV/0!</v>
      </c>
      <c r="K67" s="13" t="e">
        <f t="shared" si="1"/>
        <v>#DIV/0!</v>
      </c>
      <c r="L67" s="13" t="e">
        <f t="shared" si="1"/>
        <v>#DIV/0!</v>
      </c>
    </row>
    <row r="68" spans="1:12">
      <c r="A68" s="9"/>
      <c r="B68" s="9"/>
      <c r="C68" s="11"/>
      <c r="D68" s="9"/>
      <c r="E68" s="9"/>
      <c r="F68" s="9"/>
      <c r="G68" s="13"/>
      <c r="H68" s="9"/>
      <c r="I68" s="11"/>
      <c r="J68" s="9"/>
    </row>
    <row r="69" spans="1:12">
      <c r="A69" s="9"/>
      <c r="B69" s="9"/>
      <c r="C69" s="9"/>
      <c r="D69" s="9"/>
      <c r="E69" s="9"/>
      <c r="F69" s="9"/>
      <c r="G69" s="9"/>
      <c r="H69" s="9"/>
      <c r="I69" s="9"/>
      <c r="J69" s="9"/>
    </row>
    <row r="70" spans="1:12">
      <c r="A70" s="9"/>
      <c r="B70" s="9"/>
      <c r="C70" s="9"/>
      <c r="D70" s="9"/>
      <c r="E70" s="9"/>
      <c r="F70" s="9"/>
      <c r="G70" s="9"/>
      <c r="H70" s="9"/>
      <c r="I70" s="9"/>
      <c r="J70" s="9"/>
    </row>
    <row r="71" spans="1:12">
      <c r="A71" s="9"/>
      <c r="B71" s="13"/>
      <c r="C71" s="13"/>
      <c r="D71" s="13"/>
      <c r="E71" s="13"/>
      <c r="F71" s="13"/>
      <c r="G71" s="13"/>
      <c r="H71" s="13"/>
      <c r="I71" s="13"/>
      <c r="J71" s="13"/>
      <c r="K71" s="14"/>
    </row>
    <row r="72" spans="1:12">
      <c r="A72" s="9"/>
      <c r="B72" s="9"/>
      <c r="C72" s="9"/>
      <c r="D72" s="9"/>
      <c r="E72" s="9"/>
      <c r="F72" s="9"/>
      <c r="G72" s="9"/>
      <c r="H72" s="9"/>
      <c r="I72" s="9"/>
      <c r="J72" s="9"/>
    </row>
    <row r="73" spans="1:12">
      <c r="A73" s="9"/>
      <c r="B73" s="9"/>
      <c r="C73" s="9"/>
      <c r="D73" s="9"/>
      <c r="E73" s="9"/>
      <c r="F73" s="9"/>
      <c r="G73" s="9"/>
      <c r="H73" s="9"/>
      <c r="I73" s="9"/>
      <c r="J73" s="9"/>
    </row>
    <row r="74" spans="1:12">
      <c r="A74" s="9"/>
      <c r="B74" s="13">
        <f>AVERAGE(B3:L37)</f>
        <v>5.508927789452004E-2</v>
      </c>
      <c r="C74" s="9"/>
      <c r="D74" s="13"/>
      <c r="E74" s="9"/>
      <c r="F74" s="9"/>
      <c r="G74" s="9"/>
      <c r="H74" s="9"/>
      <c r="I74" s="9"/>
      <c r="J74" s="9"/>
    </row>
    <row r="75" spans="1:12">
      <c r="A75" s="8" t="s">
        <v>15</v>
      </c>
      <c r="B75" s="9"/>
      <c r="C75" s="13"/>
      <c r="D75" s="9"/>
      <c r="E75" s="9"/>
      <c r="F75" s="9"/>
      <c r="G75" s="9"/>
      <c r="H75" s="9"/>
      <c r="I75" s="9"/>
      <c r="J75" s="9"/>
    </row>
    <row r="76" spans="1:12">
      <c r="A76" s="9"/>
      <c r="B76" s="9"/>
      <c r="C76" s="9"/>
      <c r="D76" s="9"/>
      <c r="E76" s="9"/>
      <c r="F76" s="9"/>
      <c r="G76" s="9"/>
      <c r="H76" s="9"/>
      <c r="I76" s="9"/>
      <c r="J76" s="9"/>
    </row>
    <row r="77" spans="1:12">
      <c r="A77" s="9"/>
      <c r="B77" s="9"/>
      <c r="C77" s="9"/>
      <c r="D77" s="9"/>
      <c r="E77" s="9"/>
      <c r="F77" s="9"/>
      <c r="G77" s="9"/>
      <c r="H77" s="9"/>
      <c r="I77" s="9"/>
      <c r="J77" s="9"/>
    </row>
    <row r="78" spans="1:12">
      <c r="A78" s="9"/>
      <c r="B78" s="9"/>
      <c r="C78" s="9"/>
      <c r="D78" s="9"/>
      <c r="E78" s="9"/>
      <c r="F78" s="9"/>
      <c r="G78" s="9"/>
      <c r="H78" s="9"/>
      <c r="I78" s="9"/>
      <c r="J78" s="9"/>
    </row>
    <row r="79" spans="1:12">
      <c r="A79" s="8" t="s">
        <v>16</v>
      </c>
      <c r="B79" s="13"/>
      <c r="C79" s="13"/>
      <c r="D79" s="15">
        <f>VAR(B3:L37)</f>
        <v>2.0009467433729712E-3</v>
      </c>
      <c r="E79" s="13"/>
      <c r="F79" s="13"/>
      <c r="G79" s="13"/>
      <c r="H79" s="13"/>
      <c r="I79" s="13"/>
      <c r="J79" s="13"/>
      <c r="K79" s="14"/>
    </row>
    <row r="80" spans="1:12">
      <c r="A80" s="9"/>
      <c r="B80" s="9"/>
      <c r="C80" s="9"/>
      <c r="D80" s="9"/>
      <c r="E80" s="9"/>
      <c r="F80" s="9"/>
      <c r="G80" s="9"/>
      <c r="H80" s="9"/>
      <c r="I80" s="9"/>
      <c r="J80" s="9"/>
    </row>
    <row r="81" spans="1:12">
      <c r="A81" s="9"/>
      <c r="B81" s="9"/>
      <c r="C81" s="9"/>
      <c r="D81" s="9"/>
      <c r="E81" s="9"/>
      <c r="F81" s="9"/>
      <c r="G81" s="9"/>
      <c r="H81" s="9"/>
      <c r="I81" s="9"/>
      <c r="J81" s="9"/>
    </row>
    <row r="82" spans="1:12">
      <c r="A82" s="9"/>
      <c r="B82" s="9"/>
      <c r="C82" s="9"/>
      <c r="D82" s="9"/>
      <c r="E82" s="9"/>
      <c r="F82" s="9"/>
      <c r="G82" s="9"/>
      <c r="H82" s="9"/>
      <c r="I82" s="9"/>
      <c r="J82" s="9"/>
    </row>
    <row r="83" spans="1:12">
      <c r="A83" s="9"/>
      <c r="B83" s="9"/>
      <c r="C83" s="9"/>
      <c r="D83" s="9"/>
      <c r="E83" s="9"/>
      <c r="F83" s="9"/>
      <c r="G83" s="9"/>
      <c r="H83" s="9"/>
      <c r="I83" s="9"/>
      <c r="J83" s="9"/>
      <c r="K83" s="9"/>
      <c r="L83" s="9"/>
    </row>
    <row r="84" spans="1:12">
      <c r="A84" s="9"/>
      <c r="B84" s="9"/>
      <c r="C84" s="9"/>
      <c r="D84" s="9"/>
      <c r="E84" s="9"/>
      <c r="F84" s="9"/>
      <c r="G84" s="9"/>
      <c r="H84" s="9"/>
      <c r="I84" s="9"/>
      <c r="J84" s="9"/>
      <c r="K84" s="9"/>
      <c r="L84" s="9"/>
    </row>
    <row r="85" spans="1:12">
      <c r="A85" s="9" t="s">
        <v>17</v>
      </c>
      <c r="B85" s="9">
        <v>3</v>
      </c>
      <c r="C85" s="9"/>
      <c r="D85" s="9"/>
      <c r="E85" s="9"/>
      <c r="F85" s="9"/>
      <c r="G85" s="9"/>
      <c r="H85" s="9"/>
      <c r="I85" s="9"/>
      <c r="J85" s="9"/>
      <c r="K85" s="9"/>
      <c r="L85" s="9"/>
    </row>
    <row r="86" spans="1:12">
      <c r="A86" s="9"/>
      <c r="B86" s="9"/>
      <c r="C86" s="9"/>
      <c r="D86" s="9"/>
      <c r="E86" s="9"/>
      <c r="F86" s="9"/>
      <c r="G86" s="9"/>
      <c r="H86" s="9"/>
      <c r="I86" s="9"/>
      <c r="J86" s="9"/>
      <c r="K86" s="9"/>
      <c r="L86" s="9"/>
    </row>
    <row r="87" spans="1:12">
      <c r="A87" s="9"/>
      <c r="B87" s="9"/>
      <c r="C87" s="9"/>
      <c r="D87" s="9"/>
      <c r="E87" s="9"/>
      <c r="F87" s="9"/>
      <c r="G87" s="9"/>
      <c r="H87" s="9"/>
      <c r="I87" s="9"/>
      <c r="J87" s="9"/>
      <c r="K87" s="9"/>
      <c r="L87" s="9"/>
    </row>
    <row r="88" spans="1:12">
      <c r="A88" s="9" t="s">
        <v>18</v>
      </c>
      <c r="B88" s="15">
        <f>1/B55+1/B85</f>
        <v>0.58333333333333326</v>
      </c>
      <c r="C88" s="15"/>
      <c r="D88" s="15"/>
      <c r="E88" s="15"/>
      <c r="F88" s="15"/>
      <c r="G88" s="15"/>
      <c r="H88" s="15"/>
      <c r="I88" s="15"/>
      <c r="J88" s="15"/>
      <c r="K88" s="15"/>
      <c r="L88" s="9"/>
    </row>
    <row r="89" spans="1:12">
      <c r="A89" s="9"/>
      <c r="B89" s="15"/>
      <c r="C89" s="15"/>
      <c r="D89" s="15"/>
      <c r="E89" s="15"/>
      <c r="F89" s="15"/>
      <c r="G89" s="15"/>
      <c r="H89" s="15"/>
      <c r="I89" s="15"/>
      <c r="J89" s="15"/>
      <c r="K89" s="15"/>
      <c r="L89" s="9"/>
    </row>
    <row r="90" spans="1:12">
      <c r="A90" s="9"/>
      <c r="B90" s="15"/>
      <c r="C90" s="15"/>
      <c r="D90" s="15"/>
      <c r="E90" s="15"/>
      <c r="F90" s="15"/>
      <c r="G90" s="15"/>
      <c r="H90" s="15"/>
      <c r="I90" s="15"/>
      <c r="J90" s="15"/>
      <c r="K90" s="15"/>
      <c r="L90" s="9"/>
    </row>
    <row r="91" spans="1:12">
      <c r="A91" s="9"/>
      <c r="B91" s="15"/>
      <c r="C91" s="15"/>
      <c r="D91" s="15"/>
      <c r="E91" s="15"/>
      <c r="F91" s="15"/>
      <c r="G91" s="15"/>
      <c r="H91" s="15"/>
      <c r="I91" s="15"/>
      <c r="J91" s="15"/>
      <c r="K91" s="15"/>
      <c r="L91" s="9"/>
    </row>
    <row r="92" spans="1:12">
      <c r="A92" s="9" t="s">
        <v>19</v>
      </c>
      <c r="B92" s="15">
        <f>D79*B88</f>
        <v>1.1672189336342331E-3</v>
      </c>
      <c r="C92" s="15"/>
      <c r="D92" s="15"/>
      <c r="E92" s="15"/>
      <c r="F92" s="15"/>
      <c r="G92" s="15"/>
      <c r="H92" s="15"/>
      <c r="I92" s="15"/>
      <c r="J92" s="15"/>
      <c r="K92" s="15"/>
      <c r="L92" s="9"/>
    </row>
    <row r="93" spans="1:12">
      <c r="A93" s="9"/>
      <c r="B93" s="9"/>
      <c r="C93" s="9"/>
      <c r="D93" s="9"/>
      <c r="E93" s="9"/>
      <c r="F93" s="9"/>
      <c r="G93" s="9"/>
      <c r="H93" s="9"/>
      <c r="I93" s="9"/>
      <c r="J93" s="9"/>
      <c r="K93" s="9"/>
      <c r="L93" s="9"/>
    </row>
    <row r="94" spans="1:12">
      <c r="A94" s="9"/>
      <c r="B94" s="9"/>
      <c r="C94" s="9"/>
      <c r="D94" s="9"/>
      <c r="E94" s="9"/>
      <c r="F94" s="9"/>
      <c r="G94" s="9"/>
      <c r="H94" s="9"/>
      <c r="I94" s="9"/>
      <c r="J94" s="9"/>
      <c r="K94" s="9"/>
      <c r="L94" s="9"/>
    </row>
    <row r="95" spans="1:12">
      <c r="A95" s="9"/>
      <c r="B95" s="9"/>
      <c r="C95" s="9"/>
      <c r="D95" s="9"/>
      <c r="E95" s="9"/>
      <c r="F95" s="9"/>
      <c r="G95" s="9"/>
      <c r="H95" s="9"/>
      <c r="I95" s="9"/>
      <c r="J95" s="9"/>
      <c r="K95" s="9"/>
      <c r="L95" s="9"/>
    </row>
    <row r="96" spans="1:12">
      <c r="A96" s="9"/>
      <c r="B96" s="9"/>
      <c r="C96" s="9"/>
      <c r="D96" s="9"/>
      <c r="E96" s="9"/>
      <c r="F96" s="9"/>
      <c r="G96" s="9"/>
      <c r="H96" s="9"/>
      <c r="I96" s="9"/>
      <c r="J96" s="9"/>
    </row>
    <row r="97" spans="1:12">
      <c r="A97" s="9"/>
      <c r="B97" s="9"/>
      <c r="C97" s="9"/>
      <c r="D97" s="9"/>
      <c r="E97" s="9"/>
      <c r="F97" s="9"/>
      <c r="G97" s="9"/>
      <c r="H97" s="9"/>
      <c r="I97" s="9"/>
      <c r="J97" s="9"/>
    </row>
    <row r="98" spans="1:12">
      <c r="A98" s="8" t="s">
        <v>20</v>
      </c>
      <c r="B98" s="9"/>
      <c r="C98" s="9">
        <f>SQRT(B92)</f>
        <v>3.416458595730721E-2</v>
      </c>
      <c r="D98" s="9"/>
      <c r="E98" s="9"/>
      <c r="F98" s="9"/>
      <c r="G98" s="9"/>
      <c r="H98" s="9"/>
      <c r="I98" s="9"/>
      <c r="J98" s="9"/>
    </row>
    <row r="99" spans="1:12">
      <c r="A99" s="9"/>
      <c r="B99" s="9"/>
      <c r="C99" s="9"/>
      <c r="D99" s="9"/>
      <c r="E99" s="9"/>
      <c r="F99" s="9"/>
      <c r="G99" s="9"/>
      <c r="H99" s="9"/>
      <c r="I99" s="9"/>
      <c r="J99" s="9"/>
      <c r="K99" s="9"/>
      <c r="L99" s="9"/>
    </row>
    <row r="100" spans="1:12">
      <c r="A100" s="9"/>
      <c r="B100" s="9"/>
      <c r="C100" s="9"/>
      <c r="D100" s="9"/>
      <c r="E100" s="9"/>
      <c r="F100" s="9"/>
      <c r="G100" s="9"/>
      <c r="H100" s="9"/>
      <c r="I100" s="9"/>
      <c r="J100" s="9"/>
      <c r="K100" s="9"/>
      <c r="L100" s="9"/>
    </row>
    <row r="101" spans="1:12">
      <c r="A101" s="8" t="s">
        <v>21</v>
      </c>
      <c r="B101" s="9"/>
      <c r="C101" s="9"/>
      <c r="D101" s="9"/>
      <c r="E101" s="9"/>
      <c r="F101" s="9"/>
      <c r="G101" s="9"/>
      <c r="H101" s="9"/>
      <c r="I101" s="9"/>
      <c r="J101" s="9"/>
      <c r="K101" s="9"/>
      <c r="L101" s="9"/>
    </row>
    <row r="102" spans="1:12">
      <c r="A102" s="9"/>
      <c r="B102" s="9"/>
      <c r="C102" s="9"/>
      <c r="D102" s="9"/>
      <c r="E102" s="9"/>
      <c r="F102" s="9"/>
      <c r="G102" s="9"/>
      <c r="H102" s="9"/>
      <c r="I102" s="9"/>
      <c r="J102" s="9"/>
      <c r="K102" s="9"/>
      <c r="L102" s="9"/>
    </row>
    <row r="103" spans="1:12">
      <c r="A103" s="9"/>
      <c r="B103" s="9"/>
      <c r="C103" s="9"/>
      <c r="D103" s="9"/>
      <c r="E103" s="9"/>
      <c r="F103" s="9"/>
      <c r="G103" s="9"/>
      <c r="H103" s="9"/>
      <c r="I103" s="9"/>
      <c r="J103" s="9"/>
      <c r="K103" s="9"/>
      <c r="L103" s="9"/>
    </row>
    <row r="104" spans="1:12">
      <c r="A104" s="9" t="s">
        <v>22</v>
      </c>
      <c r="B104" s="16" t="s">
        <v>23</v>
      </c>
      <c r="C104" s="9"/>
      <c r="D104" s="9"/>
      <c r="E104" s="9"/>
      <c r="F104" s="9"/>
      <c r="G104" s="9"/>
      <c r="H104" s="8">
        <f>TINV(2*0.01,B60)</f>
        <v>4.5407028585681335</v>
      </c>
      <c r="I104" s="9"/>
      <c r="J104" s="9"/>
      <c r="K104" s="10"/>
      <c r="L104" s="9"/>
    </row>
    <row r="105" spans="1:12">
      <c r="A105" s="9"/>
      <c r="B105" s="9"/>
      <c r="C105" s="9"/>
      <c r="D105" s="9"/>
      <c r="E105" s="9"/>
      <c r="F105" s="9"/>
      <c r="G105" s="9"/>
      <c r="H105" s="9"/>
      <c r="I105" s="9"/>
      <c r="J105" s="9"/>
      <c r="K105" s="9"/>
      <c r="L105" s="9"/>
    </row>
    <row r="106" spans="1:12">
      <c r="A106" s="9"/>
      <c r="B106" s="9"/>
      <c r="C106" s="9"/>
      <c r="D106" s="9"/>
      <c r="E106" s="9"/>
      <c r="F106" s="9"/>
      <c r="G106" s="9"/>
      <c r="H106" s="9"/>
      <c r="I106" s="9"/>
      <c r="J106" s="9"/>
      <c r="K106" s="9"/>
      <c r="L106" s="9"/>
    </row>
    <row r="107" spans="1:12">
      <c r="A107" s="9" t="s">
        <v>905</v>
      </c>
      <c r="B107" s="9"/>
      <c r="D107" s="9"/>
      <c r="E107" s="9"/>
      <c r="F107" s="394">
        <f>B74+H104*C98</f>
        <v>0.21022051101266159</v>
      </c>
      <c r="G107" s="8"/>
      <c r="H107" s="9"/>
      <c r="I107" s="9"/>
      <c r="J107" s="9"/>
      <c r="K107" s="9"/>
      <c r="L107" s="9"/>
    </row>
    <row r="108" spans="1:12">
      <c r="A108" s="9"/>
      <c r="B108" s="9"/>
      <c r="C108" s="9"/>
      <c r="D108" s="9"/>
      <c r="E108" s="9"/>
      <c r="F108" s="9"/>
      <c r="G108" s="9"/>
      <c r="H108" s="9"/>
      <c r="I108" s="9"/>
      <c r="J108" s="9"/>
      <c r="K108" s="9"/>
      <c r="L108" s="9"/>
    </row>
    <row r="109" spans="1:12">
      <c r="A109" s="9"/>
      <c r="B109" s="9"/>
      <c r="C109" s="9"/>
      <c r="D109" s="9"/>
      <c r="E109" s="9"/>
      <c r="F109" s="9"/>
      <c r="G109" s="9"/>
      <c r="H109" s="9"/>
      <c r="I109" s="9"/>
      <c r="J109" s="9"/>
    </row>
    <row r="110" spans="1:12">
      <c r="A110" s="9"/>
      <c r="B110" s="9"/>
      <c r="C110" s="9"/>
      <c r="D110" s="9"/>
      <c r="E110" s="9"/>
      <c r="F110" s="9"/>
      <c r="G110" s="9"/>
      <c r="H110" s="9"/>
      <c r="I110" s="9"/>
      <c r="J110" s="9"/>
    </row>
    <row r="111" spans="1:12">
      <c r="A111" s="9"/>
      <c r="B111" s="9"/>
      <c r="C111" s="9"/>
      <c r="D111" s="9"/>
      <c r="E111" s="9"/>
      <c r="F111" s="9"/>
      <c r="G111" s="9"/>
      <c r="H111" s="9"/>
      <c r="I111" s="9"/>
      <c r="J111" s="9"/>
    </row>
    <row r="112" spans="1:12">
      <c r="A112" s="9"/>
      <c r="B112" s="9"/>
      <c r="C112" s="9"/>
      <c r="D112" s="9"/>
      <c r="E112" s="9"/>
      <c r="F112" s="9"/>
      <c r="G112" s="9"/>
      <c r="H112" s="9"/>
      <c r="I112" s="9"/>
      <c r="J112" s="9"/>
    </row>
    <row r="113" spans="1:10">
      <c r="A113" s="9"/>
      <c r="B113" s="9"/>
      <c r="C113" s="9"/>
      <c r="D113" s="9"/>
      <c r="E113" s="9"/>
      <c r="F113" s="9"/>
      <c r="G113" s="9"/>
      <c r="H113" s="9"/>
      <c r="I113" s="9"/>
      <c r="J113" s="9"/>
    </row>
    <row r="114" spans="1:10">
      <c r="A114" s="9"/>
      <c r="B114" s="16"/>
      <c r="C114" s="9"/>
      <c r="D114" s="9"/>
      <c r="E114" s="9"/>
      <c r="F114" s="9"/>
      <c r="G114" s="9"/>
      <c r="H114" s="9"/>
      <c r="I114" s="9"/>
      <c r="J114" s="9"/>
    </row>
    <row r="115" spans="1:10">
      <c r="A115" s="9"/>
      <c r="B115" s="9"/>
      <c r="C115" s="9"/>
      <c r="D115" s="9"/>
      <c r="E115" s="9"/>
      <c r="F115" s="9"/>
      <c r="G115" s="9"/>
      <c r="H115" s="9"/>
      <c r="I115" s="9"/>
      <c r="J115" s="9"/>
    </row>
    <row r="116" spans="1:10">
      <c r="A116" s="9"/>
      <c r="B116" s="9"/>
      <c r="C116" s="9"/>
      <c r="D116" s="9"/>
      <c r="E116" s="9"/>
      <c r="F116" s="9"/>
      <c r="G116" s="9"/>
      <c r="H116" s="9"/>
      <c r="I116" s="9"/>
      <c r="J116" s="9"/>
    </row>
    <row r="117" spans="1:10">
      <c r="A117" s="9"/>
      <c r="B117" s="9"/>
      <c r="C117" s="9"/>
      <c r="D117" s="9"/>
      <c r="E117" s="9"/>
      <c r="F117" s="9"/>
      <c r="G117" s="9"/>
      <c r="H117" s="9"/>
      <c r="I117" s="9"/>
      <c r="J117" s="9"/>
    </row>
    <row r="118" spans="1:10">
      <c r="A118" s="9"/>
      <c r="B118" s="9"/>
      <c r="C118" s="9"/>
      <c r="D118" s="9"/>
      <c r="E118" s="9"/>
      <c r="F118" s="9"/>
      <c r="G118" s="9"/>
      <c r="H118" s="9"/>
      <c r="I118" s="9"/>
      <c r="J118" s="9"/>
    </row>
    <row r="119" spans="1:10">
      <c r="A119" s="9"/>
      <c r="B119" s="9"/>
      <c r="C119" s="9"/>
      <c r="D119" s="9"/>
      <c r="E119" s="9"/>
      <c r="F119" s="9"/>
      <c r="G119" s="9"/>
      <c r="H119" s="9"/>
      <c r="I119" s="9"/>
      <c r="J119" s="9"/>
    </row>
    <row r="120" spans="1:10">
      <c r="A120" s="9"/>
      <c r="B120" s="9"/>
      <c r="C120" s="9"/>
      <c r="D120" s="9"/>
      <c r="E120" s="9"/>
      <c r="F120" s="9"/>
      <c r="G120" s="9"/>
      <c r="H120" s="9"/>
      <c r="I120" s="9"/>
      <c r="J120" s="9"/>
    </row>
    <row r="121" spans="1:10">
      <c r="A121" s="9"/>
      <c r="B121" s="9"/>
      <c r="C121" s="9"/>
      <c r="D121" s="9"/>
      <c r="E121" s="9"/>
      <c r="F121" s="9"/>
      <c r="G121" s="9"/>
      <c r="H121" s="9"/>
      <c r="I121" s="9"/>
      <c r="J121" s="9"/>
    </row>
    <row r="122" spans="1:10">
      <c r="A122" s="9"/>
      <c r="B122" s="9"/>
      <c r="C122" s="9"/>
      <c r="D122" s="9"/>
      <c r="E122" s="9"/>
      <c r="F122" s="9"/>
      <c r="G122" s="9"/>
      <c r="H122" s="9"/>
      <c r="I122" s="9"/>
      <c r="J122" s="9"/>
    </row>
    <row r="123" spans="1:10">
      <c r="A123" s="9"/>
      <c r="B123" s="9"/>
      <c r="C123" s="9"/>
      <c r="D123" s="9"/>
      <c r="E123" s="9"/>
      <c r="F123" s="9"/>
      <c r="G123" s="9"/>
      <c r="H123" s="9"/>
      <c r="I123" s="9"/>
      <c r="J123" s="9"/>
    </row>
    <row r="124" spans="1:10">
      <c r="A124" s="9"/>
      <c r="B124" s="9"/>
      <c r="C124" s="9"/>
      <c r="D124" s="9"/>
      <c r="E124" s="9"/>
      <c r="F124" s="9"/>
      <c r="G124" s="9"/>
      <c r="H124" s="9"/>
      <c r="I124" s="9"/>
      <c r="J124" s="9"/>
    </row>
    <row r="125" spans="1:10">
      <c r="A125" s="9"/>
      <c r="B125" s="9"/>
      <c r="C125" s="9"/>
      <c r="D125" s="9"/>
      <c r="E125" s="9"/>
      <c r="F125" s="9"/>
      <c r="G125" s="9"/>
      <c r="H125" s="9"/>
      <c r="I125" s="9"/>
      <c r="J125" s="9"/>
    </row>
    <row r="126" spans="1:10">
      <c r="A126" s="9"/>
      <c r="B126" s="9"/>
      <c r="C126" s="9"/>
      <c r="D126" s="9"/>
      <c r="E126" s="9"/>
      <c r="F126" s="9"/>
      <c r="G126" s="9"/>
      <c r="H126" s="9"/>
      <c r="I126" s="9"/>
      <c r="J126" s="9"/>
    </row>
    <row r="127" spans="1:10">
      <c r="A127" s="9"/>
      <c r="B127" s="9"/>
      <c r="C127" s="9"/>
      <c r="D127" s="9"/>
      <c r="E127" s="9"/>
      <c r="F127" s="9"/>
      <c r="G127" s="9"/>
      <c r="H127" s="9"/>
      <c r="I127" s="9"/>
      <c r="J127" s="9"/>
    </row>
    <row r="128" spans="1:10">
      <c r="A128" s="9"/>
      <c r="B128" s="9"/>
      <c r="C128" s="9"/>
      <c r="D128" s="9"/>
      <c r="E128" s="9"/>
      <c r="F128" s="9"/>
      <c r="G128" s="9"/>
      <c r="H128" s="9"/>
      <c r="I128" s="9"/>
      <c r="J128" s="9"/>
    </row>
    <row r="129" spans="1:10">
      <c r="A129" s="9"/>
      <c r="B129" s="9"/>
      <c r="C129" s="9"/>
      <c r="D129" s="9"/>
      <c r="E129" s="9"/>
      <c r="F129" s="9"/>
      <c r="G129" s="9"/>
      <c r="H129" s="9"/>
      <c r="I129" s="9"/>
      <c r="J129" s="9"/>
    </row>
    <row r="130" spans="1:10">
      <c r="A130" s="9"/>
      <c r="B130" s="9"/>
      <c r="C130" s="9"/>
      <c r="D130" s="9"/>
      <c r="E130" s="9"/>
      <c r="F130" s="9"/>
      <c r="G130" s="9"/>
      <c r="H130" s="9"/>
      <c r="I130" s="9"/>
      <c r="J130" s="9"/>
    </row>
    <row r="131" spans="1:10">
      <c r="A131" s="9"/>
      <c r="B131" s="9"/>
      <c r="C131" s="9"/>
      <c r="D131" s="9"/>
      <c r="E131" s="9"/>
      <c r="F131" s="9"/>
      <c r="G131" s="9"/>
      <c r="H131" s="9"/>
      <c r="I131" s="9"/>
      <c r="J131" s="9"/>
    </row>
    <row r="132" spans="1:10">
      <c r="A132" s="9"/>
      <c r="B132" s="9"/>
      <c r="C132" s="9"/>
      <c r="D132" s="9"/>
      <c r="E132" s="9"/>
      <c r="F132" s="9"/>
      <c r="G132" s="9"/>
      <c r="H132" s="9"/>
      <c r="I132" s="9"/>
      <c r="J132" s="9"/>
    </row>
    <row r="133" spans="1:10">
      <c r="A133" s="9"/>
      <c r="B133" s="9"/>
      <c r="C133" s="9"/>
      <c r="D133" s="9"/>
      <c r="E133" s="9"/>
      <c r="F133" s="9"/>
      <c r="G133" s="9"/>
      <c r="H133" s="9"/>
      <c r="I133" s="9"/>
      <c r="J133" s="9"/>
    </row>
    <row r="134" spans="1:10">
      <c r="A134" s="9"/>
      <c r="B134" s="9"/>
      <c r="C134" s="9"/>
      <c r="D134" s="9"/>
      <c r="E134" s="9"/>
      <c r="F134" s="9"/>
      <c r="G134" s="9"/>
      <c r="H134" s="9"/>
      <c r="I134" s="9"/>
      <c r="J134" s="9"/>
    </row>
    <row r="135" spans="1:10">
      <c r="A135" s="9"/>
      <c r="B135" s="9"/>
      <c r="C135" s="9"/>
      <c r="D135" s="9"/>
      <c r="E135" s="9"/>
      <c r="F135" s="9"/>
      <c r="G135" s="9"/>
      <c r="H135" s="9"/>
      <c r="I135" s="9"/>
      <c r="J135" s="9"/>
    </row>
    <row r="136" spans="1:10">
      <c r="A136" s="9"/>
      <c r="B136" s="9"/>
      <c r="C136" s="9"/>
      <c r="D136" s="9"/>
      <c r="E136" s="9"/>
      <c r="F136" s="9"/>
      <c r="G136" s="9"/>
      <c r="H136" s="9"/>
      <c r="I136" s="9"/>
      <c r="J136" s="9"/>
    </row>
    <row r="137" spans="1:10">
      <c r="A137" s="9"/>
      <c r="B137" s="9"/>
      <c r="C137" s="9"/>
      <c r="D137" s="9"/>
      <c r="E137" s="9"/>
      <c r="F137" s="9"/>
      <c r="G137" s="9"/>
      <c r="H137" s="9"/>
      <c r="I137" s="9"/>
      <c r="J137" s="9"/>
    </row>
    <row r="138" spans="1:10">
      <c r="A138" s="9"/>
      <c r="B138" s="9"/>
      <c r="C138" s="9"/>
      <c r="D138" s="9"/>
      <c r="E138" s="9"/>
      <c r="F138" s="9"/>
      <c r="G138" s="9"/>
      <c r="H138" s="9"/>
      <c r="I138" s="9"/>
      <c r="J138" s="9"/>
    </row>
    <row r="139" spans="1:10">
      <c r="A139" s="9"/>
      <c r="B139" s="9"/>
      <c r="C139" s="9"/>
      <c r="D139" s="9"/>
      <c r="E139" s="9"/>
      <c r="F139" s="9"/>
      <c r="G139" s="9"/>
      <c r="H139" s="9"/>
      <c r="I139" s="9"/>
      <c r="J139" s="9"/>
    </row>
    <row r="140" spans="1:10">
      <c r="A140" s="9"/>
      <c r="B140" s="9"/>
      <c r="C140" s="9"/>
      <c r="D140" s="9"/>
      <c r="E140" s="9"/>
      <c r="F140" s="9"/>
      <c r="G140" s="9"/>
      <c r="H140" s="9"/>
      <c r="I140" s="9"/>
      <c r="J140" s="9"/>
    </row>
    <row r="141" spans="1:10">
      <c r="A141" s="9"/>
      <c r="B141" s="9"/>
      <c r="C141" s="9"/>
      <c r="D141" s="9"/>
      <c r="E141" s="9"/>
      <c r="F141" s="9"/>
      <c r="G141" s="9"/>
      <c r="H141" s="9"/>
      <c r="I141" s="9"/>
      <c r="J141" s="9"/>
    </row>
    <row r="142" spans="1:10">
      <c r="A142" s="9"/>
      <c r="B142" s="9"/>
      <c r="C142" s="9"/>
      <c r="D142" s="9"/>
      <c r="E142" s="9"/>
      <c r="F142" s="9"/>
      <c r="G142" s="9"/>
      <c r="H142" s="9"/>
      <c r="I142" s="9"/>
      <c r="J142" s="9"/>
    </row>
    <row r="143" spans="1:10">
      <c r="A143" s="9"/>
      <c r="B143" s="9"/>
      <c r="C143" s="9"/>
      <c r="D143" s="9"/>
      <c r="E143" s="9"/>
      <c r="F143" s="9"/>
      <c r="G143" s="9"/>
      <c r="H143" s="9"/>
      <c r="I143" s="9"/>
      <c r="J143" s="9"/>
    </row>
    <row r="144" spans="1:10">
      <c r="A144" s="9"/>
      <c r="B144" s="9"/>
      <c r="C144" s="9"/>
      <c r="D144" s="9"/>
      <c r="E144" s="9"/>
      <c r="F144" s="9"/>
      <c r="G144" s="9"/>
      <c r="H144" s="9"/>
      <c r="I144" s="9"/>
      <c r="J144" s="9"/>
    </row>
    <row r="145" spans="1:10">
      <c r="A145" s="9"/>
      <c r="B145" s="9"/>
      <c r="C145" s="9"/>
      <c r="D145" s="9"/>
      <c r="E145" s="9"/>
      <c r="F145" s="9"/>
      <c r="G145" s="9"/>
      <c r="H145" s="9"/>
      <c r="I145" s="9"/>
      <c r="J145" s="9"/>
    </row>
    <row r="146" spans="1:10">
      <c r="A146" s="9"/>
      <c r="B146" s="9"/>
      <c r="C146" s="9"/>
      <c r="D146" s="9"/>
      <c r="E146" s="9"/>
      <c r="F146" s="9"/>
      <c r="G146" s="9"/>
      <c r="H146" s="9"/>
      <c r="I146" s="9"/>
      <c r="J146" s="9"/>
    </row>
    <row r="147" spans="1:10">
      <c r="A147" s="9"/>
      <c r="B147" s="9"/>
      <c r="C147" s="9"/>
      <c r="D147" s="9"/>
      <c r="E147" s="9"/>
      <c r="F147" s="9"/>
      <c r="G147" s="9"/>
      <c r="H147" s="9"/>
      <c r="I147" s="9"/>
      <c r="J147" s="9"/>
    </row>
    <row r="148" spans="1:10">
      <c r="A148" s="9"/>
      <c r="B148" s="9"/>
      <c r="C148" s="9"/>
      <c r="D148" s="9"/>
      <c r="E148" s="9"/>
      <c r="F148" s="9"/>
      <c r="G148" s="9"/>
      <c r="H148" s="9"/>
      <c r="I148" s="9"/>
      <c r="J148" s="9"/>
    </row>
    <row r="149" spans="1:10">
      <c r="A149" s="9"/>
      <c r="B149" s="9"/>
      <c r="C149" s="9"/>
      <c r="D149" s="9"/>
      <c r="E149" s="9"/>
      <c r="F149" s="9"/>
      <c r="G149" s="9"/>
      <c r="H149" s="9"/>
      <c r="I149" s="9"/>
      <c r="J149" s="9"/>
    </row>
    <row r="150" spans="1:10">
      <c r="A150" s="9"/>
      <c r="B150" s="9"/>
      <c r="C150" s="9"/>
      <c r="D150" s="9"/>
      <c r="E150" s="9"/>
      <c r="F150" s="9"/>
      <c r="G150" s="9"/>
      <c r="H150" s="9"/>
      <c r="I150" s="9"/>
      <c r="J150" s="9"/>
    </row>
    <row r="151" spans="1:10">
      <c r="A151" s="9"/>
      <c r="B151" s="9"/>
      <c r="C151" s="9"/>
      <c r="D151" s="9"/>
      <c r="E151" s="9"/>
      <c r="F151" s="9"/>
      <c r="G151" s="9"/>
      <c r="H151" s="9"/>
      <c r="I151" s="9"/>
      <c r="J151" s="9"/>
    </row>
    <row r="152" spans="1:10">
      <c r="A152" s="9"/>
      <c r="B152" s="9"/>
      <c r="C152" s="9"/>
      <c r="D152" s="9"/>
      <c r="E152" s="9"/>
      <c r="F152" s="9"/>
      <c r="G152" s="9"/>
      <c r="H152" s="9"/>
      <c r="I152" s="9"/>
      <c r="J152" s="9"/>
    </row>
    <row r="153" spans="1:10">
      <c r="A153" s="9"/>
      <c r="B153" s="9"/>
      <c r="C153" s="9"/>
      <c r="D153" s="9"/>
      <c r="E153" s="9"/>
      <c r="F153" s="9"/>
      <c r="G153" s="9"/>
      <c r="H153" s="9"/>
      <c r="I153" s="9"/>
      <c r="J153" s="9"/>
    </row>
    <row r="154" spans="1:10">
      <c r="A154" s="9"/>
      <c r="B154" s="9"/>
      <c r="C154" s="9"/>
      <c r="D154" s="9"/>
      <c r="E154" s="9"/>
      <c r="F154" s="9"/>
      <c r="G154" s="9"/>
      <c r="H154" s="9"/>
      <c r="I154" s="9"/>
      <c r="J154" s="9"/>
    </row>
    <row r="155" spans="1:10">
      <c r="A155" s="9"/>
      <c r="B155" s="9"/>
      <c r="C155" s="9"/>
      <c r="D155" s="9"/>
      <c r="E155" s="9"/>
      <c r="F155" s="9"/>
      <c r="G155" s="9"/>
      <c r="H155" s="9"/>
      <c r="I155" s="9"/>
      <c r="J155" s="9"/>
    </row>
    <row r="156" spans="1:10">
      <c r="A156" s="9"/>
      <c r="B156" s="9"/>
      <c r="C156" s="9"/>
      <c r="D156" s="9"/>
      <c r="E156" s="9"/>
      <c r="F156" s="9"/>
      <c r="G156" s="9"/>
      <c r="H156" s="9"/>
      <c r="I156" s="9"/>
      <c r="J156" s="9"/>
    </row>
    <row r="157" spans="1:10">
      <c r="A157" s="9"/>
      <c r="B157" s="9"/>
      <c r="C157" s="9"/>
      <c r="D157" s="9"/>
      <c r="E157" s="9"/>
      <c r="F157" s="9"/>
      <c r="G157" s="9"/>
      <c r="H157" s="9"/>
      <c r="I157" s="9"/>
      <c r="J157" s="9"/>
    </row>
    <row r="158" spans="1:10">
      <c r="A158" s="9"/>
      <c r="B158" s="9"/>
      <c r="C158" s="9"/>
      <c r="D158" s="9"/>
      <c r="E158" s="9"/>
      <c r="F158" s="9"/>
      <c r="G158" s="9"/>
      <c r="H158" s="9"/>
      <c r="I158" s="9"/>
      <c r="J158" s="9"/>
    </row>
    <row r="159" spans="1:10">
      <c r="A159" s="9"/>
      <c r="B159" s="9"/>
      <c r="C159" s="9"/>
      <c r="D159" s="9"/>
      <c r="E159" s="9"/>
      <c r="F159" s="9"/>
      <c r="G159" s="9"/>
      <c r="H159" s="9"/>
      <c r="I159" s="9"/>
      <c r="J159" s="9"/>
    </row>
    <row r="160" spans="1:10">
      <c r="A160" s="9"/>
      <c r="B160" s="9"/>
      <c r="C160" s="9"/>
      <c r="D160" s="9"/>
      <c r="E160" s="9"/>
      <c r="F160" s="9"/>
      <c r="G160" s="9"/>
      <c r="H160" s="9"/>
      <c r="I160" s="9"/>
      <c r="J160" s="9"/>
    </row>
    <row r="161" spans="1:10">
      <c r="A161" s="9"/>
      <c r="B161" s="9"/>
      <c r="C161" s="9"/>
      <c r="D161" s="9"/>
      <c r="E161" s="9"/>
      <c r="F161" s="9"/>
      <c r="G161" s="9"/>
      <c r="H161" s="9"/>
      <c r="I161" s="9"/>
      <c r="J161" s="9"/>
    </row>
    <row r="162" spans="1:10">
      <c r="A162" s="9"/>
      <c r="B162" s="9"/>
      <c r="C162" s="9"/>
      <c r="D162" s="9"/>
      <c r="E162" s="9"/>
      <c r="F162" s="9"/>
      <c r="G162" s="9"/>
      <c r="H162" s="9"/>
      <c r="I162" s="9"/>
      <c r="J162" s="9"/>
    </row>
    <row r="163" spans="1:10">
      <c r="A163" s="9"/>
      <c r="B163" s="9"/>
      <c r="C163" s="9"/>
      <c r="D163" s="9"/>
      <c r="E163" s="9"/>
      <c r="F163" s="9"/>
      <c r="G163" s="9"/>
      <c r="H163" s="9"/>
      <c r="I163" s="9"/>
      <c r="J163" s="9"/>
    </row>
    <row r="164" spans="1:10">
      <c r="A164" s="9"/>
      <c r="B164" s="9"/>
      <c r="C164" s="9"/>
      <c r="D164" s="9"/>
      <c r="E164" s="9"/>
      <c r="F164" s="9"/>
      <c r="G164" s="9"/>
      <c r="H164" s="9"/>
      <c r="I164" s="9"/>
      <c r="J164" s="9"/>
    </row>
    <row r="165" spans="1:10">
      <c r="A165" s="9"/>
      <c r="B165" s="9"/>
      <c r="C165" s="9"/>
      <c r="D165" s="9"/>
      <c r="E165" s="9"/>
      <c r="F165" s="9"/>
      <c r="G165" s="9"/>
      <c r="H165" s="9"/>
      <c r="I165" s="9"/>
      <c r="J165" s="9"/>
    </row>
    <row r="166" spans="1:10">
      <c r="A166" s="9"/>
      <c r="B166" s="9"/>
      <c r="C166" s="9"/>
      <c r="D166" s="9"/>
      <c r="E166" s="9"/>
      <c r="F166" s="9"/>
      <c r="G166" s="9"/>
      <c r="H166" s="9"/>
      <c r="I166" s="9"/>
      <c r="J166" s="9"/>
    </row>
    <row r="167" spans="1:10">
      <c r="A167" s="9"/>
      <c r="B167" s="9"/>
      <c r="C167" s="9"/>
      <c r="D167" s="9"/>
      <c r="E167" s="9"/>
      <c r="F167" s="9"/>
      <c r="G167" s="9"/>
      <c r="H167" s="9"/>
      <c r="I167" s="9"/>
      <c r="J167" s="9"/>
    </row>
    <row r="168" spans="1:10">
      <c r="A168" s="9"/>
      <c r="B168" s="9"/>
      <c r="C168" s="9"/>
      <c r="D168" s="9"/>
      <c r="E168" s="9"/>
      <c r="F168" s="9"/>
      <c r="G168" s="9"/>
      <c r="H168" s="9"/>
      <c r="I168" s="9"/>
      <c r="J168" s="9"/>
    </row>
    <row r="169" spans="1:10">
      <c r="A169" s="9"/>
      <c r="B169" s="9"/>
      <c r="C169" s="9"/>
      <c r="D169" s="9"/>
      <c r="E169" s="9"/>
      <c r="F169" s="9"/>
      <c r="G169" s="9"/>
      <c r="H169" s="9"/>
      <c r="I169" s="9"/>
      <c r="J169" s="9"/>
    </row>
    <row r="170" spans="1:10">
      <c r="A170" s="9"/>
      <c r="B170" s="9"/>
      <c r="C170" s="9"/>
      <c r="D170" s="9"/>
      <c r="E170" s="9"/>
      <c r="F170" s="9"/>
      <c r="G170" s="9"/>
      <c r="H170" s="9"/>
      <c r="I170" s="9"/>
      <c r="J170" s="9"/>
    </row>
    <row r="171" spans="1:10">
      <c r="A171" s="9"/>
      <c r="B171" s="9"/>
      <c r="C171" s="9"/>
      <c r="D171" s="9"/>
      <c r="E171" s="9"/>
      <c r="F171" s="9"/>
      <c r="G171" s="9"/>
      <c r="H171" s="9"/>
      <c r="I171" s="9"/>
      <c r="J171" s="9"/>
    </row>
    <row r="172" spans="1:10">
      <c r="A172" s="9"/>
      <c r="B172" s="9"/>
      <c r="C172" s="9"/>
      <c r="D172" s="9"/>
      <c r="E172" s="9"/>
      <c r="F172" s="9"/>
      <c r="G172" s="9"/>
      <c r="H172" s="9"/>
      <c r="I172" s="9"/>
      <c r="J172" s="9"/>
    </row>
    <row r="173" spans="1:10">
      <c r="A173" s="9"/>
      <c r="B173" s="9"/>
      <c r="C173" s="9"/>
      <c r="D173" s="9"/>
      <c r="E173" s="9"/>
      <c r="F173" s="9"/>
      <c r="G173" s="9"/>
      <c r="H173" s="9"/>
      <c r="I173" s="9"/>
      <c r="J173" s="9"/>
    </row>
    <row r="174" spans="1:10">
      <c r="A174" s="9"/>
      <c r="B174" s="9"/>
      <c r="C174" s="9"/>
      <c r="D174" s="9"/>
      <c r="E174" s="9"/>
      <c r="F174" s="9"/>
      <c r="G174" s="9"/>
      <c r="H174" s="9"/>
      <c r="I174" s="9"/>
      <c r="J174" s="9"/>
    </row>
    <row r="175" spans="1:10">
      <c r="A175" s="9"/>
      <c r="B175" s="9"/>
      <c r="C175" s="9"/>
      <c r="D175" s="9"/>
      <c r="E175" s="9"/>
      <c r="F175" s="9"/>
      <c r="G175" s="9"/>
      <c r="H175" s="9"/>
      <c r="I175" s="9"/>
      <c r="J175" s="9"/>
    </row>
    <row r="176" spans="1:10">
      <c r="A176" s="9"/>
      <c r="B176" s="9"/>
      <c r="C176" s="9"/>
      <c r="D176" s="9"/>
      <c r="E176" s="9"/>
      <c r="F176" s="9"/>
      <c r="G176" s="9"/>
      <c r="H176" s="9"/>
      <c r="I176" s="9"/>
      <c r="J176" s="9"/>
    </row>
    <row r="177" spans="1:10">
      <c r="A177" s="9"/>
      <c r="B177" s="9"/>
      <c r="C177" s="9"/>
      <c r="D177" s="9"/>
      <c r="E177" s="9"/>
      <c r="F177" s="9"/>
      <c r="G177" s="9"/>
      <c r="H177" s="9"/>
      <c r="I177" s="9"/>
      <c r="J177" s="9"/>
    </row>
    <row r="178" spans="1:10">
      <c r="A178" s="9"/>
      <c r="B178" s="9"/>
      <c r="C178" s="9"/>
      <c r="D178" s="9"/>
      <c r="E178" s="9"/>
      <c r="F178" s="9"/>
      <c r="G178" s="9"/>
      <c r="H178" s="9"/>
      <c r="I178" s="9"/>
      <c r="J178" s="9"/>
    </row>
    <row r="179" spans="1:10">
      <c r="A179" s="9"/>
      <c r="B179" s="9"/>
      <c r="C179" s="9"/>
      <c r="D179" s="9"/>
      <c r="E179" s="9"/>
      <c r="F179" s="9"/>
      <c r="G179" s="9"/>
      <c r="H179" s="9"/>
      <c r="I179" s="9"/>
      <c r="J179" s="9"/>
    </row>
    <row r="180" spans="1:10">
      <c r="A180" s="9"/>
      <c r="B180" s="9"/>
      <c r="C180" s="9"/>
      <c r="D180" s="9"/>
      <c r="E180" s="9"/>
      <c r="F180" s="9"/>
      <c r="G180" s="9"/>
      <c r="H180" s="9"/>
      <c r="I180" s="9"/>
      <c r="J180" s="9"/>
    </row>
    <row r="181" spans="1:10">
      <c r="A181" s="9"/>
      <c r="B181" s="9"/>
      <c r="C181" s="9"/>
      <c r="D181" s="9"/>
      <c r="E181" s="9"/>
      <c r="F181" s="9"/>
      <c r="G181" s="9"/>
      <c r="H181" s="9"/>
      <c r="I181" s="9"/>
      <c r="J181" s="9"/>
    </row>
    <row r="182" spans="1:10">
      <c r="A182" s="9"/>
      <c r="B182" s="9"/>
      <c r="C182" s="9"/>
      <c r="D182" s="9"/>
      <c r="E182" s="9"/>
      <c r="F182" s="9"/>
      <c r="G182" s="9"/>
      <c r="H182" s="9"/>
      <c r="I182" s="9"/>
      <c r="J182" s="9"/>
    </row>
    <row r="183" spans="1:10">
      <c r="A183" s="9"/>
      <c r="B183" s="9"/>
      <c r="C183" s="9"/>
      <c r="D183" s="9"/>
      <c r="E183" s="9"/>
      <c r="F183" s="9"/>
      <c r="G183" s="9"/>
      <c r="H183" s="9"/>
      <c r="I183" s="9"/>
      <c r="J183" s="9"/>
    </row>
    <row r="184" spans="1:10">
      <c r="A184" s="9"/>
      <c r="B184" s="9"/>
      <c r="C184" s="9"/>
      <c r="D184" s="9"/>
      <c r="E184" s="9"/>
      <c r="F184" s="9"/>
      <c r="G184" s="9"/>
      <c r="H184" s="9"/>
      <c r="I184" s="9"/>
      <c r="J184" s="9"/>
    </row>
    <row r="185" spans="1:10">
      <c r="A185" s="9"/>
      <c r="B185" s="9"/>
      <c r="C185" s="9"/>
      <c r="D185" s="9"/>
      <c r="E185" s="9"/>
      <c r="F185" s="9"/>
      <c r="G185" s="9"/>
      <c r="H185" s="9"/>
      <c r="I185" s="9"/>
      <c r="J185" s="9"/>
    </row>
    <row r="186" spans="1:10">
      <c r="A186" s="9"/>
      <c r="B186" s="9"/>
      <c r="C186" s="9"/>
      <c r="D186" s="9"/>
      <c r="E186" s="9"/>
      <c r="F186" s="9"/>
      <c r="G186" s="9"/>
      <c r="H186" s="9"/>
      <c r="I186" s="9"/>
      <c r="J186" s="9"/>
    </row>
    <row r="187" spans="1:10">
      <c r="A187" s="9"/>
      <c r="B187" s="9"/>
      <c r="C187" s="9"/>
      <c r="D187" s="9"/>
      <c r="E187" s="9"/>
      <c r="F187" s="9"/>
      <c r="G187" s="9"/>
      <c r="H187" s="9"/>
      <c r="I187" s="9"/>
      <c r="J187" s="9"/>
    </row>
    <row r="188" spans="1:10">
      <c r="A188" s="9"/>
      <c r="B188" s="9"/>
      <c r="C188" s="9"/>
      <c r="D188" s="9"/>
      <c r="E188" s="9"/>
      <c r="F188" s="9"/>
      <c r="G188" s="9"/>
      <c r="H188" s="9"/>
      <c r="I188" s="9"/>
      <c r="J188" s="9"/>
    </row>
    <row r="189" spans="1:10">
      <c r="A189" s="9"/>
      <c r="B189" s="9"/>
      <c r="C189" s="9"/>
      <c r="D189" s="9"/>
      <c r="E189" s="9"/>
      <c r="F189" s="9"/>
      <c r="G189" s="9"/>
      <c r="H189" s="9"/>
      <c r="I189" s="9"/>
      <c r="J189" s="9"/>
    </row>
    <row r="190" spans="1:10">
      <c r="A190" s="9"/>
      <c r="B190" s="9"/>
      <c r="C190" s="9"/>
      <c r="D190" s="9"/>
      <c r="E190" s="9"/>
      <c r="F190" s="9"/>
      <c r="G190" s="9"/>
      <c r="H190" s="9"/>
      <c r="I190" s="9"/>
      <c r="J190" s="9"/>
    </row>
    <row r="191" spans="1:10">
      <c r="A191" s="9"/>
      <c r="B191" s="9"/>
      <c r="C191" s="9"/>
      <c r="D191" s="9"/>
      <c r="E191" s="9"/>
      <c r="F191" s="9"/>
      <c r="G191" s="9"/>
      <c r="H191" s="9"/>
      <c r="I191" s="9"/>
      <c r="J191" s="9"/>
    </row>
    <row r="192" spans="1:10">
      <c r="A192" s="9"/>
      <c r="B192" s="9"/>
      <c r="C192" s="9"/>
      <c r="D192" s="9"/>
      <c r="E192" s="9"/>
      <c r="F192" s="9"/>
      <c r="G192" s="9"/>
      <c r="H192" s="9"/>
      <c r="I192" s="9"/>
      <c r="J192" s="9"/>
    </row>
    <row r="193" spans="1:10">
      <c r="A193" s="9"/>
      <c r="B193" s="9"/>
      <c r="C193" s="9"/>
      <c r="D193" s="9"/>
      <c r="E193" s="9"/>
      <c r="F193" s="9"/>
      <c r="G193" s="9"/>
      <c r="H193" s="9"/>
      <c r="I193" s="9"/>
      <c r="J193" s="9"/>
    </row>
    <row r="194" spans="1:10">
      <c r="A194" s="9"/>
      <c r="B194" s="9"/>
      <c r="C194" s="9"/>
      <c r="D194" s="9"/>
      <c r="E194" s="9"/>
      <c r="F194" s="9"/>
      <c r="G194" s="9"/>
      <c r="H194" s="9"/>
      <c r="I194" s="9"/>
      <c r="J194" s="9"/>
    </row>
    <row r="195" spans="1:10">
      <c r="A195" s="9"/>
      <c r="B195" s="9"/>
      <c r="C195" s="9"/>
      <c r="D195" s="9"/>
      <c r="E195" s="9"/>
      <c r="F195" s="9"/>
      <c r="G195" s="9"/>
      <c r="H195" s="9"/>
      <c r="I195" s="9"/>
      <c r="J195" s="9"/>
    </row>
    <row r="196" spans="1:10">
      <c r="A196" s="9"/>
      <c r="B196" s="9"/>
      <c r="C196" s="9"/>
      <c r="D196" s="9"/>
      <c r="E196" s="9"/>
      <c r="F196" s="9"/>
      <c r="G196" s="9"/>
      <c r="H196" s="9"/>
      <c r="I196" s="9"/>
      <c r="J196" s="9"/>
    </row>
    <row r="197" spans="1:10">
      <c r="A197" s="9"/>
      <c r="B197" s="9"/>
      <c r="C197" s="9"/>
      <c r="D197" s="9"/>
      <c r="E197" s="9"/>
      <c r="F197" s="9"/>
      <c r="G197" s="9"/>
      <c r="H197" s="9"/>
      <c r="I197" s="9"/>
      <c r="J197" s="9"/>
    </row>
    <row r="198" spans="1:10">
      <c r="A198" s="9"/>
      <c r="B198" s="9"/>
      <c r="C198" s="9"/>
      <c r="D198" s="9"/>
      <c r="E198" s="9"/>
      <c r="F198" s="9"/>
      <c r="G198" s="9"/>
      <c r="H198" s="9"/>
      <c r="I198" s="9"/>
      <c r="J198" s="9"/>
    </row>
    <row r="199" spans="1:10">
      <c r="A199" s="9"/>
      <c r="B199" s="9"/>
      <c r="C199" s="9"/>
      <c r="D199" s="9"/>
      <c r="E199" s="9"/>
      <c r="F199" s="9"/>
      <c r="G199" s="9"/>
      <c r="H199" s="9"/>
      <c r="I199" s="9"/>
      <c r="J199" s="9"/>
    </row>
    <row r="200" spans="1:10">
      <c r="A200" s="9"/>
      <c r="B200" s="9"/>
      <c r="C200" s="9"/>
      <c r="D200" s="9"/>
      <c r="E200" s="9"/>
      <c r="F200" s="9"/>
      <c r="G200" s="9"/>
      <c r="H200" s="9"/>
      <c r="I200" s="9"/>
      <c r="J200" s="9"/>
    </row>
  </sheetData>
  <mergeCells count="2">
    <mergeCell ref="B1:L1"/>
    <mergeCell ref="A38:D38"/>
  </mergeCells>
  <pageMargins left="0.75" right="0.38" top="1" bottom="1" header="0.5" footer="0.5"/>
  <pageSetup scale="59" fitToHeight="2" orientation="landscape" r:id="rId1"/>
  <headerFooter alignWithMargins="0">
    <oddFooter>&amp;L&amp;F&amp;C&amp;A&amp;R&amp;D</oddFooter>
  </headerFooter>
  <legacyDrawing r:id="rId2"/>
  <oleObjects>
    <oleObject progId="Equation.DSMT4" shapeId="65537" r:id="rId3"/>
    <oleObject progId="Equation.DSMT4" shapeId="65538" r:id="rId4"/>
    <oleObject progId="Equation.DSMT4" shapeId="65539" r:id="rId5"/>
    <oleObject progId="Equation.DSMT4" shapeId="65540" r:id="rId6"/>
    <oleObject progId="Equation.DSMT4" shapeId="65541" r:id="rId7"/>
    <oleObject progId="Equation.DSMT4" shapeId="65542" r:id="rId8"/>
    <oleObject progId="Equation.DSMT4" shapeId="65543" r:id="rId9"/>
    <oleObject progId="Equation.DSMT4" shapeId="65544" r:id="rId10"/>
    <oleObject progId="Equation.DSMT4" shapeId="65545" r:id="rId11"/>
    <oleObject progId="Equation.DSMT4" shapeId="65546" r:id="rId12"/>
    <oleObject progId="Equation.DSMT4" shapeId="65547" r:id="rId13"/>
  </oleObjects>
</worksheet>
</file>

<file path=xl/worksheets/sheet2.xml><?xml version="1.0" encoding="utf-8"?>
<worksheet xmlns="http://schemas.openxmlformats.org/spreadsheetml/2006/main" xmlns:r="http://schemas.openxmlformats.org/officeDocument/2006/relationships">
  <dimension ref="A1:S104"/>
  <sheetViews>
    <sheetView workbookViewId="0">
      <pane ySplit="1" topLeftCell="A2" activePane="bottomLeft" state="frozen"/>
      <selection sqref="A1:XFD1048576"/>
      <selection pane="bottomLeft" sqref="A1:XFD1048576"/>
    </sheetView>
  </sheetViews>
  <sheetFormatPr defaultRowHeight="15"/>
  <cols>
    <col min="1" max="1" width="11" bestFit="1" customWidth="1"/>
    <col min="2" max="2" width="24.42578125" customWidth="1"/>
    <col min="3" max="3" width="29.7109375" customWidth="1"/>
    <col min="4" max="4" width="10.42578125" customWidth="1"/>
    <col min="11" max="11" width="10.140625" customWidth="1"/>
    <col min="12" max="12" width="9.140625" customWidth="1"/>
    <col min="13" max="13" width="9.85546875" customWidth="1"/>
    <col min="14" max="14" width="10.7109375" customWidth="1"/>
    <col min="15" max="15" width="12.42578125" customWidth="1"/>
    <col min="16" max="16" width="10.28515625" bestFit="1" customWidth="1"/>
    <col min="17" max="17" width="11.7109375" customWidth="1"/>
  </cols>
  <sheetData>
    <row r="1" spans="1:19" ht="45">
      <c r="B1" s="73" t="s">
        <v>179</v>
      </c>
      <c r="C1" s="74" t="s">
        <v>180</v>
      </c>
      <c r="D1" s="75" t="s">
        <v>181</v>
      </c>
      <c r="E1" s="75" t="s">
        <v>182</v>
      </c>
      <c r="F1" s="75" t="s">
        <v>183</v>
      </c>
      <c r="G1" s="75" t="s">
        <v>184</v>
      </c>
      <c r="H1" s="75" t="s">
        <v>185</v>
      </c>
      <c r="I1" s="75" t="s">
        <v>186</v>
      </c>
      <c r="J1" s="75" t="s">
        <v>187</v>
      </c>
      <c r="K1" s="75" t="s">
        <v>189</v>
      </c>
      <c r="L1" s="75" t="s">
        <v>190</v>
      </c>
      <c r="M1" s="75" t="s">
        <v>191</v>
      </c>
      <c r="N1" s="75" t="s">
        <v>192</v>
      </c>
      <c r="O1" s="75" t="s">
        <v>193</v>
      </c>
      <c r="P1" s="75" t="s">
        <v>194</v>
      </c>
      <c r="Q1" s="75" t="s">
        <v>195</v>
      </c>
    </row>
    <row r="2" spans="1:19">
      <c r="A2" s="76" t="s">
        <v>196</v>
      </c>
      <c r="B2" s="77" t="s">
        <v>197</v>
      </c>
      <c r="C2" s="76" t="s">
        <v>198</v>
      </c>
      <c r="D2" s="78">
        <v>1588</v>
      </c>
      <c r="E2" s="79" t="s">
        <v>199</v>
      </c>
      <c r="F2" s="79" t="s">
        <v>199</v>
      </c>
      <c r="G2" s="80" t="s">
        <v>200</v>
      </c>
      <c r="H2" s="81">
        <v>1.0333333333333334E-3</v>
      </c>
      <c r="I2" s="80" t="s">
        <v>192</v>
      </c>
      <c r="J2" s="80" t="s">
        <v>201</v>
      </c>
      <c r="K2" s="80" t="s">
        <v>203</v>
      </c>
      <c r="L2" s="82">
        <v>3</v>
      </c>
      <c r="M2" s="83"/>
      <c r="N2" s="81">
        <v>1.0333333333333334E-3</v>
      </c>
      <c r="O2" s="84">
        <v>9.634812286689419</v>
      </c>
      <c r="P2" s="85">
        <v>9.9559726962457334E-3</v>
      </c>
      <c r="Q2" s="86">
        <v>1</v>
      </c>
      <c r="R2" t="s">
        <v>204</v>
      </c>
    </row>
    <row r="3" spans="1:19" s="76" customFormat="1">
      <c r="A3" s="76" t="s">
        <v>196</v>
      </c>
      <c r="B3" s="77" t="s">
        <v>197</v>
      </c>
      <c r="C3" s="76" t="s">
        <v>205</v>
      </c>
      <c r="D3" s="78">
        <v>1588</v>
      </c>
      <c r="E3" s="79" t="s">
        <v>199</v>
      </c>
      <c r="F3" s="79" t="s">
        <v>199</v>
      </c>
      <c r="G3" s="80" t="s">
        <v>200</v>
      </c>
      <c r="H3" s="81">
        <v>3.6666666666666666E-3</v>
      </c>
      <c r="I3" s="80" t="s">
        <v>192</v>
      </c>
      <c r="J3" s="80" t="s">
        <v>201</v>
      </c>
      <c r="K3" s="80" t="s">
        <v>206</v>
      </c>
      <c r="L3" s="82">
        <v>3</v>
      </c>
      <c r="M3" s="83"/>
      <c r="N3" s="81">
        <v>3.6666666666666666E-3</v>
      </c>
      <c r="O3" s="84">
        <v>9.634812286689419</v>
      </c>
      <c r="P3" s="85">
        <v>3.5327645051194533E-2</v>
      </c>
      <c r="Q3" s="86">
        <v>1</v>
      </c>
      <c r="R3" s="76" t="s">
        <v>207</v>
      </c>
      <c r="S3" s="87"/>
    </row>
    <row r="4" spans="1:19" s="76" customFormat="1">
      <c r="A4" s="76" t="s">
        <v>196</v>
      </c>
      <c r="B4" s="76" t="s">
        <v>197</v>
      </c>
      <c r="C4" s="76" t="s">
        <v>208</v>
      </c>
      <c r="D4" s="78">
        <v>1588</v>
      </c>
      <c r="E4" s="79" t="s">
        <v>199</v>
      </c>
      <c r="F4" s="79" t="s">
        <v>199</v>
      </c>
      <c r="G4" s="79" t="s">
        <v>200</v>
      </c>
      <c r="H4" s="88">
        <v>4.333333333333334E-3</v>
      </c>
      <c r="I4" s="79" t="s">
        <v>192</v>
      </c>
      <c r="J4" s="79" t="s">
        <v>201</v>
      </c>
      <c r="K4" s="79" t="s">
        <v>209</v>
      </c>
      <c r="L4" s="78">
        <v>3</v>
      </c>
      <c r="M4" s="89"/>
      <c r="N4" s="88">
        <v>4.333333333333334E-3</v>
      </c>
      <c r="O4" s="90">
        <v>9.634812286689419</v>
      </c>
      <c r="P4" s="91">
        <v>4.1750853242320821E-2</v>
      </c>
      <c r="Q4" s="92">
        <v>1</v>
      </c>
      <c r="S4" s="93"/>
    </row>
    <row r="5" spans="1:19" s="76" customFormat="1">
      <c r="A5" s="76" t="s">
        <v>196</v>
      </c>
      <c r="B5" s="76" t="s">
        <v>197</v>
      </c>
      <c r="D5" s="78">
        <v>1588</v>
      </c>
      <c r="E5" s="79" t="s">
        <v>199</v>
      </c>
      <c r="F5" s="79" t="s">
        <v>199</v>
      </c>
      <c r="G5" s="79" t="s">
        <v>200</v>
      </c>
      <c r="H5" s="88">
        <v>8.3333333333333332E-3</v>
      </c>
      <c r="I5" s="79" t="s">
        <v>192</v>
      </c>
      <c r="J5" s="79" t="s">
        <v>201</v>
      </c>
      <c r="K5" s="79" t="s">
        <v>210</v>
      </c>
      <c r="L5" s="78">
        <v>3</v>
      </c>
      <c r="M5" s="89"/>
      <c r="N5" s="88">
        <v>8.3333333333333332E-3</v>
      </c>
      <c r="O5" s="90">
        <v>9.634812286689419</v>
      </c>
      <c r="P5" s="91">
        <v>8.0290102389078494E-2</v>
      </c>
      <c r="Q5" s="92">
        <v>1</v>
      </c>
      <c r="S5" s="93"/>
    </row>
    <row r="6" spans="1:19" s="103" customFormat="1">
      <c r="A6" s="94" t="s">
        <v>211</v>
      </c>
      <c r="B6" s="94" t="s">
        <v>212</v>
      </c>
      <c r="C6" s="95" t="s">
        <v>213</v>
      </c>
      <c r="D6" s="96">
        <v>617</v>
      </c>
      <c r="E6" s="97" t="s">
        <v>214</v>
      </c>
      <c r="F6" s="97" t="s">
        <v>215</v>
      </c>
      <c r="G6" s="97" t="s">
        <v>200</v>
      </c>
      <c r="H6" s="98">
        <v>1.3333333333333333E-3</v>
      </c>
      <c r="I6" s="97" t="s">
        <v>192</v>
      </c>
      <c r="J6" s="97" t="s">
        <v>201</v>
      </c>
      <c r="K6" s="97" t="s">
        <v>216</v>
      </c>
      <c r="L6" s="96">
        <v>6</v>
      </c>
      <c r="M6" s="99"/>
      <c r="N6" s="98">
        <v>1.3333333333333333E-3</v>
      </c>
      <c r="O6" s="100">
        <v>10.126582278481013</v>
      </c>
      <c r="P6" s="101">
        <v>1.350210970464135E-2</v>
      </c>
      <c r="Q6" s="102">
        <v>2</v>
      </c>
      <c r="S6" s="104"/>
    </row>
    <row r="7" spans="1:19" s="76" customFormat="1">
      <c r="A7" s="94" t="s">
        <v>211</v>
      </c>
      <c r="B7" s="94" t="s">
        <v>212</v>
      </c>
      <c r="C7" s="94"/>
      <c r="D7" s="96">
        <v>617</v>
      </c>
      <c r="E7" s="97" t="s">
        <v>214</v>
      </c>
      <c r="F7" s="97" t="s">
        <v>215</v>
      </c>
      <c r="G7" s="97" t="s">
        <v>200</v>
      </c>
      <c r="H7" s="98">
        <v>2.2602647683354167E-3</v>
      </c>
      <c r="I7" s="97" t="s">
        <v>192</v>
      </c>
      <c r="J7" s="97" t="s">
        <v>217</v>
      </c>
      <c r="K7" s="97" t="s">
        <v>219</v>
      </c>
      <c r="L7" s="96">
        <v>6</v>
      </c>
      <c r="M7" s="105">
        <v>2285</v>
      </c>
      <c r="N7" s="98">
        <v>2.2602647683354167E-3</v>
      </c>
      <c r="O7" s="100">
        <v>10.126582278481013</v>
      </c>
      <c r="P7" s="106">
        <v>2.2888757147700424E-2</v>
      </c>
      <c r="Q7" s="102">
        <v>2</v>
      </c>
      <c r="R7" s="103" t="s">
        <v>220</v>
      </c>
      <c r="S7" s="107"/>
    </row>
    <row r="8" spans="1:19" s="76" customFormat="1">
      <c r="A8" s="94" t="s">
        <v>211</v>
      </c>
      <c r="B8" s="94" t="s">
        <v>212</v>
      </c>
      <c r="C8" s="94"/>
      <c r="D8" s="96">
        <v>617</v>
      </c>
      <c r="E8" s="97" t="s">
        <v>214</v>
      </c>
      <c r="F8" s="97" t="s">
        <v>215</v>
      </c>
      <c r="G8" s="97" t="s">
        <v>200</v>
      </c>
      <c r="H8" s="98">
        <v>7.4999999999999997E-3</v>
      </c>
      <c r="I8" s="97" t="s">
        <v>192</v>
      </c>
      <c r="J8" s="97" t="s">
        <v>201</v>
      </c>
      <c r="K8" s="97" t="s">
        <v>221</v>
      </c>
      <c r="L8" s="96">
        <v>6</v>
      </c>
      <c r="M8" s="99"/>
      <c r="N8" s="98">
        <v>7.4999999999999997E-3</v>
      </c>
      <c r="O8" s="100">
        <v>10.126582278481013</v>
      </c>
      <c r="P8" s="106">
        <v>7.5949367088607597E-2</v>
      </c>
      <c r="Q8" s="102">
        <v>2</v>
      </c>
      <c r="S8" s="107"/>
    </row>
    <row r="9" spans="1:19" s="76" customFormat="1">
      <c r="A9" s="94" t="s">
        <v>211</v>
      </c>
      <c r="B9" s="94" t="s">
        <v>212</v>
      </c>
      <c r="C9" s="94"/>
      <c r="D9" s="96">
        <v>617</v>
      </c>
      <c r="E9" s="97" t="s">
        <v>214</v>
      </c>
      <c r="F9" s="97" t="s">
        <v>215</v>
      </c>
      <c r="G9" s="97" t="s">
        <v>200</v>
      </c>
      <c r="H9" s="98">
        <v>1.0666666666666665E-2</v>
      </c>
      <c r="I9" s="97" t="s">
        <v>192</v>
      </c>
      <c r="J9" s="97" t="s">
        <v>201</v>
      </c>
      <c r="K9" s="97" t="s">
        <v>222</v>
      </c>
      <c r="L9" s="96">
        <v>6</v>
      </c>
      <c r="M9" s="99"/>
      <c r="N9" s="98">
        <v>1.0666666666666665E-2</v>
      </c>
      <c r="O9" s="100">
        <v>10.126582278481013</v>
      </c>
      <c r="P9" s="106">
        <v>0.10801687763713079</v>
      </c>
      <c r="Q9" s="102">
        <v>2</v>
      </c>
      <c r="S9" s="107"/>
    </row>
    <row r="10" spans="1:19" s="76" customFormat="1">
      <c r="A10" s="76" t="s">
        <v>223</v>
      </c>
      <c r="B10" s="76" t="s">
        <v>212</v>
      </c>
      <c r="D10" s="78">
        <v>617</v>
      </c>
      <c r="E10" s="79" t="s">
        <v>224</v>
      </c>
      <c r="F10" s="79" t="s">
        <v>225</v>
      </c>
      <c r="G10" s="79" t="s">
        <v>200</v>
      </c>
      <c r="H10" s="88">
        <v>1.5000000000000002E-3</v>
      </c>
      <c r="I10" s="79" t="s">
        <v>192</v>
      </c>
      <c r="J10" s="79" t="s">
        <v>201</v>
      </c>
      <c r="K10" s="79" t="s">
        <v>226</v>
      </c>
      <c r="L10" s="78">
        <v>6</v>
      </c>
      <c r="M10" s="89"/>
      <c r="N10" s="88">
        <v>1.5000000000000002E-3</v>
      </c>
      <c r="O10" s="90">
        <v>10.176991150442477</v>
      </c>
      <c r="P10" s="91">
        <v>1.5265486725663718E-2</v>
      </c>
      <c r="Q10" s="92">
        <v>3</v>
      </c>
    </row>
    <row r="11" spans="1:19" s="76" customFormat="1">
      <c r="A11" s="76" t="s">
        <v>223</v>
      </c>
      <c r="B11" s="76" t="s">
        <v>212</v>
      </c>
      <c r="D11" s="78">
        <v>617</v>
      </c>
      <c r="E11" s="79" t="s">
        <v>224</v>
      </c>
      <c r="F11" s="79" t="s">
        <v>225</v>
      </c>
      <c r="G11" s="79" t="s">
        <v>200</v>
      </c>
      <c r="H11" s="88">
        <v>2.3333333333333335E-3</v>
      </c>
      <c r="I11" s="79" t="s">
        <v>192</v>
      </c>
      <c r="J11" s="79" t="s">
        <v>201</v>
      </c>
      <c r="K11" s="79" t="s">
        <v>227</v>
      </c>
      <c r="L11" s="78">
        <v>6</v>
      </c>
      <c r="M11" s="108"/>
      <c r="N11" s="88">
        <v>2.3333333333333335E-3</v>
      </c>
      <c r="O11" s="90">
        <v>10.176991150442477</v>
      </c>
      <c r="P11" s="91">
        <v>2.3746312684365781E-2</v>
      </c>
      <c r="Q11" s="92">
        <v>3</v>
      </c>
    </row>
    <row r="12" spans="1:19" s="76" customFormat="1">
      <c r="A12" s="76" t="s">
        <v>223</v>
      </c>
      <c r="B12" s="76" t="s">
        <v>212</v>
      </c>
      <c r="D12" s="78">
        <v>617</v>
      </c>
      <c r="E12" s="79" t="s">
        <v>224</v>
      </c>
      <c r="F12" s="79" t="s">
        <v>225</v>
      </c>
      <c r="G12" s="79" t="s">
        <v>200</v>
      </c>
      <c r="H12" s="88">
        <v>2.1800000000000003E-2</v>
      </c>
      <c r="I12" s="79" t="s">
        <v>192</v>
      </c>
      <c r="J12" s="79" t="s">
        <v>201</v>
      </c>
      <c r="K12" s="79" t="s">
        <v>228</v>
      </c>
      <c r="L12" s="78">
        <v>5</v>
      </c>
      <c r="M12" s="89"/>
      <c r="N12" s="88">
        <v>2.1800000000000003E-2</v>
      </c>
      <c r="O12" s="90">
        <v>10.176991150442477</v>
      </c>
      <c r="P12" s="91">
        <v>0.22185840707964605</v>
      </c>
      <c r="Q12" s="92">
        <v>3</v>
      </c>
    </row>
    <row r="13" spans="1:19" s="76" customFormat="1">
      <c r="A13" s="76" t="s">
        <v>223</v>
      </c>
      <c r="B13" s="76" t="s">
        <v>212</v>
      </c>
      <c r="D13" s="78">
        <v>617</v>
      </c>
      <c r="E13" s="79" t="s">
        <v>224</v>
      </c>
      <c r="F13" s="79" t="s">
        <v>225</v>
      </c>
      <c r="G13" s="79" t="s">
        <v>200</v>
      </c>
      <c r="H13" s="88">
        <v>2.4499999999999994E-2</v>
      </c>
      <c r="I13" s="79" t="s">
        <v>192</v>
      </c>
      <c r="J13" s="79" t="s">
        <v>201</v>
      </c>
      <c r="K13" s="79" t="s">
        <v>229</v>
      </c>
      <c r="L13" s="78">
        <v>6</v>
      </c>
      <c r="M13" s="89"/>
      <c r="N13" s="88">
        <v>2.4499999999999994E-2</v>
      </c>
      <c r="O13" s="90">
        <v>10.176991150442477</v>
      </c>
      <c r="P13" s="91">
        <v>0.24933628318584064</v>
      </c>
      <c r="Q13" s="92">
        <v>3</v>
      </c>
    </row>
    <row r="14" spans="1:19" s="76" customFormat="1">
      <c r="A14" s="76" t="s">
        <v>230</v>
      </c>
      <c r="B14" s="76" t="s">
        <v>231</v>
      </c>
      <c r="D14" s="78">
        <v>548</v>
      </c>
      <c r="E14" s="79" t="s">
        <v>232</v>
      </c>
      <c r="F14" s="79" t="s">
        <v>232</v>
      </c>
      <c r="G14" s="79" t="s">
        <v>200</v>
      </c>
      <c r="H14" s="88">
        <v>1.5707678472790065E-3</v>
      </c>
      <c r="I14" s="79" t="s">
        <v>192</v>
      </c>
      <c r="J14" s="79" t="s">
        <v>217</v>
      </c>
      <c r="K14" s="79" t="s">
        <v>219</v>
      </c>
      <c r="L14" s="78">
        <v>3</v>
      </c>
      <c r="M14" s="109">
        <v>1000</v>
      </c>
      <c r="N14" s="88">
        <v>1.5707678472790065E-3</v>
      </c>
      <c r="O14" s="90">
        <v>9.97752808988764</v>
      </c>
      <c r="P14" s="91">
        <v>1.5672380318918627E-2</v>
      </c>
      <c r="Q14" s="92">
        <v>4</v>
      </c>
    </row>
    <row r="15" spans="1:19" s="76" customFormat="1">
      <c r="A15" s="76" t="s">
        <v>233</v>
      </c>
      <c r="B15" s="76" t="s">
        <v>234</v>
      </c>
      <c r="D15" s="78">
        <v>562</v>
      </c>
      <c r="E15" s="79" t="s">
        <v>232</v>
      </c>
      <c r="F15" s="79" t="s">
        <v>232</v>
      </c>
      <c r="G15" s="79" t="s">
        <v>200</v>
      </c>
      <c r="H15" s="88">
        <v>3.1642832499139402E-3</v>
      </c>
      <c r="I15" s="79" t="s">
        <v>192</v>
      </c>
      <c r="J15" s="79" t="s">
        <v>217</v>
      </c>
      <c r="K15" s="79" t="s">
        <v>219</v>
      </c>
      <c r="L15" s="78">
        <v>3</v>
      </c>
      <c r="M15" s="78">
        <v>1001</v>
      </c>
      <c r="N15" s="88">
        <v>3.1642832499139402E-3</v>
      </c>
      <c r="O15" s="90">
        <v>9.3861600000000003</v>
      </c>
      <c r="P15" s="91">
        <v>2.9700468869012231E-2</v>
      </c>
      <c r="Q15" s="92">
        <v>5</v>
      </c>
    </row>
    <row r="16" spans="1:19" s="76" customFormat="1">
      <c r="A16" s="76" t="s">
        <v>235</v>
      </c>
      <c r="B16" s="76" t="s">
        <v>212</v>
      </c>
      <c r="D16" s="78">
        <v>617</v>
      </c>
      <c r="E16" s="79" t="s">
        <v>236</v>
      </c>
      <c r="F16" s="79" t="s">
        <v>237</v>
      </c>
      <c r="G16" s="79" t="s">
        <v>200</v>
      </c>
      <c r="H16" s="88">
        <v>3.3333333333333335E-3</v>
      </c>
      <c r="I16" s="79" t="s">
        <v>192</v>
      </c>
      <c r="J16" s="79" t="s">
        <v>201</v>
      </c>
      <c r="K16" s="79" t="s">
        <v>238</v>
      </c>
      <c r="L16" s="78">
        <v>6</v>
      </c>
      <c r="M16" s="89"/>
      <c r="N16" s="88">
        <v>3.3333333333333335E-3</v>
      </c>
      <c r="O16" s="90">
        <v>10.126582278481013</v>
      </c>
      <c r="P16" s="91">
        <v>3.375527426160338E-2</v>
      </c>
      <c r="Q16" s="92">
        <v>6</v>
      </c>
    </row>
    <row r="17" spans="1:17" s="76" customFormat="1">
      <c r="A17" s="76" t="s">
        <v>235</v>
      </c>
      <c r="B17" s="76" t="s">
        <v>212</v>
      </c>
      <c r="D17" s="78">
        <v>617</v>
      </c>
      <c r="E17" s="79" t="s">
        <v>236</v>
      </c>
      <c r="F17" s="79" t="s">
        <v>237</v>
      </c>
      <c r="G17" s="79" t="s">
        <v>200</v>
      </c>
      <c r="H17" s="88">
        <v>3.9857988183102499E-3</v>
      </c>
      <c r="I17" s="79" t="s">
        <v>192</v>
      </c>
      <c r="J17" s="79" t="s">
        <v>217</v>
      </c>
      <c r="K17" s="79" t="s">
        <v>219</v>
      </c>
      <c r="L17" s="78">
        <v>6</v>
      </c>
      <c r="M17" s="109">
        <v>2286</v>
      </c>
      <c r="N17" s="110">
        <v>3.9857988183102499E-3</v>
      </c>
      <c r="O17" s="90">
        <v>10.126582278481013</v>
      </c>
      <c r="P17" s="91">
        <v>4.0362519679091144E-2</v>
      </c>
      <c r="Q17" s="92">
        <v>6</v>
      </c>
    </row>
    <row r="18" spans="1:17" s="76" customFormat="1">
      <c r="A18" s="76" t="s">
        <v>235</v>
      </c>
      <c r="B18" s="76" t="s">
        <v>212</v>
      </c>
      <c r="D18" s="78">
        <v>617</v>
      </c>
      <c r="E18" s="79" t="s">
        <v>236</v>
      </c>
      <c r="F18" s="79" t="s">
        <v>237</v>
      </c>
      <c r="G18" s="79" t="s">
        <v>200</v>
      </c>
      <c r="H18" s="88">
        <v>9.5000000000000015E-3</v>
      </c>
      <c r="I18" s="79" t="s">
        <v>192</v>
      </c>
      <c r="J18" s="79" t="s">
        <v>201</v>
      </c>
      <c r="K18" s="79" t="s">
        <v>239</v>
      </c>
      <c r="L18" s="78">
        <v>6</v>
      </c>
      <c r="M18" s="89"/>
      <c r="N18" s="88">
        <v>9.5000000000000015E-3</v>
      </c>
      <c r="O18" s="90">
        <v>10.126582278481013</v>
      </c>
      <c r="P18" s="91">
        <v>9.6202531645569647E-2</v>
      </c>
      <c r="Q18" s="92">
        <v>6</v>
      </c>
    </row>
    <row r="19" spans="1:17" s="76" customFormat="1">
      <c r="A19" s="76" t="s">
        <v>235</v>
      </c>
      <c r="B19" s="76" t="s">
        <v>212</v>
      </c>
      <c r="D19" s="78">
        <v>617</v>
      </c>
      <c r="E19" s="79" t="s">
        <v>236</v>
      </c>
      <c r="F19" s="79" t="s">
        <v>237</v>
      </c>
      <c r="G19" s="79" t="s">
        <v>200</v>
      </c>
      <c r="H19" s="88">
        <v>1.0166666666666666E-2</v>
      </c>
      <c r="I19" s="79" t="s">
        <v>192</v>
      </c>
      <c r="J19" s="79" t="s">
        <v>201</v>
      </c>
      <c r="K19" s="79" t="s">
        <v>240</v>
      </c>
      <c r="L19" s="78">
        <v>6</v>
      </c>
      <c r="M19" s="89"/>
      <c r="N19" s="88">
        <v>1.0166666666666666E-2</v>
      </c>
      <c r="O19" s="90">
        <v>10.126582278481013</v>
      </c>
      <c r="P19" s="91">
        <v>0.1029535864978903</v>
      </c>
      <c r="Q19" s="92">
        <v>6</v>
      </c>
    </row>
    <row r="20" spans="1:17" s="76" customFormat="1">
      <c r="A20" s="76" t="s">
        <v>241</v>
      </c>
      <c r="B20" s="76" t="s">
        <v>212</v>
      </c>
      <c r="D20" s="78">
        <v>617</v>
      </c>
      <c r="E20" s="79" t="s">
        <v>242</v>
      </c>
      <c r="F20" s="79" t="s">
        <v>243</v>
      </c>
      <c r="G20" s="79" t="s">
        <v>200</v>
      </c>
      <c r="H20" s="88">
        <v>7.1666666666666658E-3</v>
      </c>
      <c r="I20" s="79" t="s">
        <v>192</v>
      </c>
      <c r="J20" s="79" t="s">
        <v>201</v>
      </c>
      <c r="K20" s="79" t="s">
        <v>244</v>
      </c>
      <c r="L20" s="78">
        <v>6</v>
      </c>
      <c r="M20" s="89"/>
      <c r="N20" s="110">
        <v>7.1666666666666658E-3</v>
      </c>
      <c r="O20" s="90">
        <v>10.176991150442477</v>
      </c>
      <c r="P20" s="91">
        <v>7.2935103244837748E-2</v>
      </c>
      <c r="Q20" s="92">
        <v>7</v>
      </c>
    </row>
    <row r="21" spans="1:17" s="76" customFormat="1">
      <c r="A21" s="76" t="s">
        <v>241</v>
      </c>
      <c r="B21" s="76" t="s">
        <v>212</v>
      </c>
      <c r="D21" s="78">
        <v>617</v>
      </c>
      <c r="E21" s="79" t="s">
        <v>242</v>
      </c>
      <c r="F21" s="79" t="s">
        <v>243</v>
      </c>
      <c r="G21" s="79" t="s">
        <v>200</v>
      </c>
      <c r="H21" s="88">
        <v>8.3333333333333332E-3</v>
      </c>
      <c r="I21" s="79" t="s">
        <v>192</v>
      </c>
      <c r="J21" s="79" t="s">
        <v>201</v>
      </c>
      <c r="K21" s="79" t="s">
        <v>245</v>
      </c>
      <c r="L21" s="78">
        <v>6</v>
      </c>
      <c r="M21" s="89"/>
      <c r="N21" s="110">
        <v>8.3333333333333332E-3</v>
      </c>
      <c r="O21" s="90">
        <v>10.176991150442477</v>
      </c>
      <c r="P21" s="91">
        <v>8.4808259587020637E-2</v>
      </c>
      <c r="Q21" s="92">
        <v>7</v>
      </c>
    </row>
    <row r="22" spans="1:17" s="76" customFormat="1">
      <c r="A22" s="76" t="s">
        <v>241</v>
      </c>
      <c r="B22" s="76" t="s">
        <v>212</v>
      </c>
      <c r="D22" s="78">
        <v>617</v>
      </c>
      <c r="E22" s="79" t="s">
        <v>242</v>
      </c>
      <c r="F22" s="79" t="s">
        <v>243</v>
      </c>
      <c r="G22" s="79" t="s">
        <v>200</v>
      </c>
      <c r="H22" s="88">
        <v>1.35E-2</v>
      </c>
      <c r="I22" s="79" t="s">
        <v>192</v>
      </c>
      <c r="J22" s="79" t="s">
        <v>201</v>
      </c>
      <c r="K22" s="79" t="s">
        <v>246</v>
      </c>
      <c r="L22" s="78">
        <v>6</v>
      </c>
      <c r="M22" s="89"/>
      <c r="N22" s="110">
        <v>1.35E-2</v>
      </c>
      <c r="O22" s="90">
        <v>10.176991150442477</v>
      </c>
      <c r="P22" s="91">
        <v>0.13738938053097344</v>
      </c>
      <c r="Q22" s="92">
        <v>7</v>
      </c>
    </row>
    <row r="23" spans="1:17" s="76" customFormat="1">
      <c r="A23" s="76" t="s">
        <v>241</v>
      </c>
      <c r="B23" s="76" t="s">
        <v>212</v>
      </c>
      <c r="D23" s="78">
        <v>617</v>
      </c>
      <c r="E23" s="79" t="s">
        <v>242</v>
      </c>
      <c r="F23" s="79" t="s">
        <v>243</v>
      </c>
      <c r="G23" s="79" t="s">
        <v>200</v>
      </c>
      <c r="H23" s="88">
        <v>1.7499999999999998E-2</v>
      </c>
      <c r="I23" s="79" t="s">
        <v>192</v>
      </c>
      <c r="J23" s="79" t="s">
        <v>201</v>
      </c>
      <c r="K23" s="79" t="s">
        <v>247</v>
      </c>
      <c r="L23" s="78">
        <v>6</v>
      </c>
      <c r="M23" s="89"/>
      <c r="N23" s="110">
        <v>1.7499999999999998E-2</v>
      </c>
      <c r="O23" s="90">
        <v>10.176991150442477</v>
      </c>
      <c r="P23" s="91">
        <v>0.17809734513274333</v>
      </c>
      <c r="Q23" s="92">
        <v>7</v>
      </c>
    </row>
    <row r="24" spans="1:17" s="76" customFormat="1">
      <c r="A24" s="76" t="s">
        <v>248</v>
      </c>
      <c r="B24" s="76" t="s">
        <v>249</v>
      </c>
      <c r="D24" s="78">
        <v>2493</v>
      </c>
      <c r="E24" s="79" t="s">
        <v>250</v>
      </c>
      <c r="F24" s="79" t="s">
        <v>250</v>
      </c>
      <c r="G24" s="79" t="s">
        <v>200</v>
      </c>
      <c r="H24" s="88">
        <v>6.1540980268117206E-3</v>
      </c>
      <c r="I24" s="79" t="s">
        <v>192</v>
      </c>
      <c r="J24" s="79" t="s">
        <v>217</v>
      </c>
      <c r="K24" s="79" t="s">
        <v>219</v>
      </c>
      <c r="L24" s="78">
        <v>3</v>
      </c>
      <c r="M24" s="109">
        <v>1259</v>
      </c>
      <c r="N24" s="110">
        <v>6.1540980268117206E-3</v>
      </c>
      <c r="O24" s="90">
        <v>14.91499227202473</v>
      </c>
      <c r="P24" s="91">
        <v>9.178832451117945E-2</v>
      </c>
      <c r="Q24" s="92">
        <v>8</v>
      </c>
    </row>
    <row r="25" spans="1:17" s="76" customFormat="1">
      <c r="A25" s="76" t="s">
        <v>248</v>
      </c>
      <c r="B25" s="76" t="s">
        <v>249</v>
      </c>
      <c r="D25" s="78">
        <v>2493</v>
      </c>
      <c r="E25" s="79" t="s">
        <v>250</v>
      </c>
      <c r="F25" s="79" t="s">
        <v>250</v>
      </c>
      <c r="G25" s="79" t="s">
        <v>200</v>
      </c>
      <c r="H25" s="88">
        <v>2.7E-2</v>
      </c>
      <c r="I25" s="79" t="s">
        <v>192</v>
      </c>
      <c r="J25" s="79" t="s">
        <v>201</v>
      </c>
      <c r="K25" s="79" t="s">
        <v>251</v>
      </c>
      <c r="L25" s="78">
        <v>1</v>
      </c>
      <c r="M25" s="89"/>
      <c r="N25" s="89"/>
      <c r="O25" s="90">
        <v>14.91499227202473</v>
      </c>
      <c r="P25" s="91">
        <v>0</v>
      </c>
      <c r="Q25" s="92">
        <v>8</v>
      </c>
    </row>
    <row r="26" spans="1:17" s="76" customFormat="1">
      <c r="A26" s="76" t="s">
        <v>252</v>
      </c>
      <c r="B26" s="76" t="s">
        <v>253</v>
      </c>
      <c r="D26" s="78">
        <v>8906</v>
      </c>
      <c r="E26" s="79" t="s">
        <v>254</v>
      </c>
      <c r="F26" s="79" t="s">
        <v>255</v>
      </c>
      <c r="G26" s="79" t="s">
        <v>200</v>
      </c>
      <c r="H26" s="88">
        <v>1.3409753982590209E-2</v>
      </c>
      <c r="I26" s="79" t="s">
        <v>192</v>
      </c>
      <c r="J26" s="79" t="s">
        <v>217</v>
      </c>
      <c r="K26" s="79" t="s">
        <v>219</v>
      </c>
      <c r="L26" s="78">
        <v>3</v>
      </c>
      <c r="M26" s="109">
        <v>2004</v>
      </c>
      <c r="N26" s="110">
        <v>1.3409753982590209E-2</v>
      </c>
      <c r="O26" s="90">
        <v>10.493238892466195</v>
      </c>
      <c r="P26" s="91">
        <v>0.14071175202851904</v>
      </c>
      <c r="Q26" s="92">
        <v>9</v>
      </c>
    </row>
    <row r="27" spans="1:17" s="76" customFormat="1">
      <c r="A27" s="76" t="s">
        <v>252</v>
      </c>
      <c r="B27" s="76" t="s">
        <v>253</v>
      </c>
      <c r="D27" s="78">
        <v>8906</v>
      </c>
      <c r="E27" s="79" t="s">
        <v>254</v>
      </c>
      <c r="F27" s="79" t="s">
        <v>255</v>
      </c>
      <c r="G27" s="79" t="s">
        <v>200</v>
      </c>
      <c r="H27" s="88">
        <v>1.5772497991007592E-2</v>
      </c>
      <c r="I27" s="79" t="s">
        <v>192</v>
      </c>
      <c r="J27" s="79" t="s">
        <v>217</v>
      </c>
      <c r="K27" s="79" t="s">
        <v>219</v>
      </c>
      <c r="L27" s="78">
        <v>3</v>
      </c>
      <c r="M27" s="109">
        <v>2006</v>
      </c>
      <c r="N27" s="88">
        <v>1.5772497991007592E-2</v>
      </c>
      <c r="O27" s="90">
        <v>10.493238892466195</v>
      </c>
      <c r="P27" s="91">
        <v>0.16550458935058579</v>
      </c>
      <c r="Q27" s="92">
        <v>9</v>
      </c>
    </row>
    <row r="28" spans="1:17" s="76" customFormat="1">
      <c r="A28" s="76" t="s">
        <v>252</v>
      </c>
      <c r="B28" s="76" t="s">
        <v>253</v>
      </c>
      <c r="D28" s="78">
        <v>8906</v>
      </c>
      <c r="E28" s="79" t="s">
        <v>254</v>
      </c>
      <c r="F28" s="79" t="s">
        <v>255</v>
      </c>
      <c r="G28" s="79" t="s">
        <v>200</v>
      </c>
      <c r="H28" s="88">
        <v>2.7699999999999995E-2</v>
      </c>
      <c r="I28" s="79" t="s">
        <v>192</v>
      </c>
      <c r="J28" s="79" t="s">
        <v>201</v>
      </c>
      <c r="K28" s="79" t="s">
        <v>256</v>
      </c>
      <c r="L28" s="78">
        <v>4</v>
      </c>
      <c r="M28" s="89"/>
      <c r="N28" s="108"/>
      <c r="O28" s="90">
        <v>10.493238892466195</v>
      </c>
      <c r="P28" s="91">
        <v>0</v>
      </c>
      <c r="Q28" s="92">
        <v>9</v>
      </c>
    </row>
    <row r="29" spans="1:17" s="76" customFormat="1">
      <c r="A29" s="76" t="s">
        <v>257</v>
      </c>
      <c r="B29" s="76" t="s">
        <v>258</v>
      </c>
      <c r="D29" s="78">
        <v>621</v>
      </c>
      <c r="E29" s="79" t="s">
        <v>259</v>
      </c>
      <c r="F29" s="79" t="s">
        <v>260</v>
      </c>
      <c r="G29" s="79" t="s">
        <v>200</v>
      </c>
      <c r="H29" s="88">
        <v>1.7833333333333336E-2</v>
      </c>
      <c r="I29" s="79" t="s">
        <v>192</v>
      </c>
      <c r="J29" s="79" t="s">
        <v>201</v>
      </c>
      <c r="K29" s="79" t="s">
        <v>261</v>
      </c>
      <c r="L29" s="78">
        <v>6</v>
      </c>
      <c r="M29" s="89"/>
      <c r="N29" s="88">
        <v>1.7833333333333336E-2</v>
      </c>
      <c r="O29" s="90">
        <v>9.5011876484560567</v>
      </c>
      <c r="P29" s="91">
        <v>0.16943784639746637</v>
      </c>
      <c r="Q29" s="92">
        <v>10</v>
      </c>
    </row>
    <row r="30" spans="1:17" s="76" customFormat="1">
      <c r="A30" s="76" t="s">
        <v>257</v>
      </c>
      <c r="B30" s="76" t="s">
        <v>258</v>
      </c>
      <c r="D30" s="78">
        <v>621</v>
      </c>
      <c r="E30" s="79" t="s">
        <v>259</v>
      </c>
      <c r="F30" s="79" t="s">
        <v>260</v>
      </c>
      <c r="G30" s="79" t="s">
        <v>200</v>
      </c>
      <c r="H30" s="88">
        <v>2.5577226635862423E-2</v>
      </c>
      <c r="I30" s="79" t="s">
        <v>192</v>
      </c>
      <c r="J30" s="79" t="s">
        <v>217</v>
      </c>
      <c r="K30" s="79" t="s">
        <v>219</v>
      </c>
      <c r="L30" s="78">
        <v>6</v>
      </c>
      <c r="M30" s="109">
        <v>2287</v>
      </c>
      <c r="N30" s="88">
        <v>2.5577226635862423E-2</v>
      </c>
      <c r="O30" s="90">
        <v>9.5011876484560567</v>
      </c>
      <c r="P30" s="91">
        <v>0.2430140297944173</v>
      </c>
      <c r="Q30" s="92">
        <v>10</v>
      </c>
    </row>
    <row r="31" spans="1:17" s="76" customFormat="1">
      <c r="A31" s="76" t="s">
        <v>257</v>
      </c>
      <c r="B31" s="76" t="s">
        <v>258</v>
      </c>
      <c r="D31" s="78">
        <v>621</v>
      </c>
      <c r="E31" s="79" t="s">
        <v>259</v>
      </c>
      <c r="F31" s="79" t="s">
        <v>260</v>
      </c>
      <c r="G31" s="79" t="s">
        <v>200</v>
      </c>
      <c r="H31" s="88">
        <v>3.6333333333333336E-2</v>
      </c>
      <c r="I31" s="79" t="s">
        <v>192</v>
      </c>
      <c r="J31" s="79" t="s">
        <v>201</v>
      </c>
      <c r="K31" s="79" t="s">
        <v>262</v>
      </c>
      <c r="L31" s="78">
        <v>6</v>
      </c>
      <c r="M31" s="89"/>
      <c r="N31" s="88">
        <v>3.6333333333333336E-2</v>
      </c>
      <c r="O31" s="90">
        <v>9.5011876484560567</v>
      </c>
      <c r="P31" s="91">
        <v>0.34520981789390343</v>
      </c>
      <c r="Q31" s="92">
        <v>10</v>
      </c>
    </row>
    <row r="32" spans="1:17" s="76" customFormat="1">
      <c r="A32" s="76" t="s">
        <v>257</v>
      </c>
      <c r="B32" s="76" t="s">
        <v>258</v>
      </c>
      <c r="D32" s="78">
        <v>621</v>
      </c>
      <c r="E32" s="79" t="s">
        <v>259</v>
      </c>
      <c r="F32" s="79" t="s">
        <v>260</v>
      </c>
      <c r="G32" s="79" t="s">
        <v>200</v>
      </c>
      <c r="H32" s="88">
        <v>4.1666666666666657E-2</v>
      </c>
      <c r="I32" s="79" t="s">
        <v>192</v>
      </c>
      <c r="J32" s="79" t="s">
        <v>201</v>
      </c>
      <c r="K32" s="79" t="s">
        <v>263</v>
      </c>
      <c r="L32" s="78">
        <v>6</v>
      </c>
      <c r="M32" s="89"/>
      <c r="N32" s="88">
        <v>4.1666666666666657E-2</v>
      </c>
      <c r="O32" s="90">
        <v>9.5011876484560567</v>
      </c>
      <c r="P32" s="91">
        <v>0.39588281868566894</v>
      </c>
      <c r="Q32" s="92">
        <v>10</v>
      </c>
    </row>
    <row r="33" spans="1:17" s="76" customFormat="1">
      <c r="A33" s="76" t="s">
        <v>257</v>
      </c>
      <c r="B33" s="76" t="s">
        <v>258</v>
      </c>
      <c r="D33" s="78">
        <v>621</v>
      </c>
      <c r="E33" s="79" t="s">
        <v>259</v>
      </c>
      <c r="F33" s="79" t="s">
        <v>260</v>
      </c>
      <c r="G33" s="79" t="s">
        <v>200</v>
      </c>
      <c r="H33" s="88">
        <v>4.933333333333334E-2</v>
      </c>
      <c r="I33" s="79" t="s">
        <v>192</v>
      </c>
      <c r="J33" s="79" t="s">
        <v>201</v>
      </c>
      <c r="K33" s="79" t="s">
        <v>264</v>
      </c>
      <c r="L33" s="78">
        <v>6</v>
      </c>
      <c r="M33" s="89"/>
      <c r="N33" s="88">
        <v>4.933333333333334E-2</v>
      </c>
      <c r="O33" s="90">
        <v>9.5011876484560567</v>
      </c>
      <c r="P33" s="91">
        <v>0.46872525732383219</v>
      </c>
      <c r="Q33" s="92">
        <v>10</v>
      </c>
    </row>
    <row r="34" spans="1:17" s="76" customFormat="1">
      <c r="A34" s="76" t="s">
        <v>257</v>
      </c>
      <c r="B34" s="76" t="s">
        <v>258</v>
      </c>
      <c r="D34" s="78">
        <v>621</v>
      </c>
      <c r="E34" s="79" t="s">
        <v>259</v>
      </c>
      <c r="F34" s="79" t="s">
        <v>260</v>
      </c>
      <c r="G34" s="79" t="s">
        <v>200</v>
      </c>
      <c r="H34" s="88">
        <v>5.3333333333333337E-2</v>
      </c>
      <c r="I34" s="79" t="s">
        <v>192</v>
      </c>
      <c r="J34" s="79" t="s">
        <v>201</v>
      </c>
      <c r="K34" s="79" t="s">
        <v>265</v>
      </c>
      <c r="L34" s="78">
        <v>6</v>
      </c>
      <c r="M34" s="89"/>
      <c r="N34" s="88">
        <v>5.3333333333333337E-2</v>
      </c>
      <c r="O34" s="90">
        <v>9.5011876484560567</v>
      </c>
      <c r="P34" s="91">
        <v>0.50673000791765643</v>
      </c>
      <c r="Q34" s="92">
        <v>10</v>
      </c>
    </row>
    <row r="35" spans="1:17" s="76" customFormat="1">
      <c r="A35" s="76" t="s">
        <v>266</v>
      </c>
      <c r="B35" s="76" t="s">
        <v>267</v>
      </c>
      <c r="D35" s="78">
        <v>2516</v>
      </c>
      <c r="E35" s="79" t="s">
        <v>268</v>
      </c>
      <c r="F35" s="79" t="s">
        <v>269</v>
      </c>
      <c r="G35" s="79" t="s">
        <v>200</v>
      </c>
      <c r="H35" s="88">
        <v>1.8416267145662645E-2</v>
      </c>
      <c r="I35" s="79" t="s">
        <v>192</v>
      </c>
      <c r="J35" s="79" t="s">
        <v>217</v>
      </c>
      <c r="K35" s="79" t="s">
        <v>219</v>
      </c>
      <c r="L35" s="78">
        <v>6</v>
      </c>
      <c r="M35" s="109">
        <v>1947</v>
      </c>
      <c r="N35" s="88">
        <v>1.8416267145662645E-2</v>
      </c>
      <c r="O35" s="90">
        <v>9.7333333333333325</v>
      </c>
      <c r="P35" s="91">
        <v>0.17925166688444974</v>
      </c>
      <c r="Q35" s="92">
        <v>11</v>
      </c>
    </row>
    <row r="36" spans="1:17" s="76" customFormat="1">
      <c r="A36" s="76" t="s">
        <v>270</v>
      </c>
      <c r="B36" s="76" t="s">
        <v>258</v>
      </c>
      <c r="D36" s="78">
        <v>621</v>
      </c>
      <c r="E36" s="79" t="s">
        <v>271</v>
      </c>
      <c r="F36" s="79" t="s">
        <v>272</v>
      </c>
      <c r="G36" s="79" t="s">
        <v>200</v>
      </c>
      <c r="H36" s="88">
        <v>1.8666666666666668E-2</v>
      </c>
      <c r="I36" s="79" t="s">
        <v>192</v>
      </c>
      <c r="J36" s="79" t="s">
        <v>201</v>
      </c>
      <c r="K36" s="79" t="s">
        <v>273</v>
      </c>
      <c r="L36" s="78">
        <v>6</v>
      </c>
      <c r="M36" s="89"/>
      <c r="N36" s="88">
        <v>1.8666666666666668E-2</v>
      </c>
      <c r="O36" s="90">
        <v>9.8280098280098276</v>
      </c>
      <c r="P36" s="91">
        <v>0.18345618345618347</v>
      </c>
      <c r="Q36" s="92">
        <v>12</v>
      </c>
    </row>
    <row r="37" spans="1:17" s="76" customFormat="1">
      <c r="A37" s="76" t="s">
        <v>270</v>
      </c>
      <c r="B37" s="76" t="s">
        <v>258</v>
      </c>
      <c r="D37" s="78">
        <v>621</v>
      </c>
      <c r="E37" s="79" t="s">
        <v>271</v>
      </c>
      <c r="F37" s="79" t="s">
        <v>272</v>
      </c>
      <c r="G37" s="79" t="s">
        <v>200</v>
      </c>
      <c r="H37" s="88">
        <v>2.2837022752010234E-2</v>
      </c>
      <c r="I37" s="79" t="s">
        <v>192</v>
      </c>
      <c r="J37" s="79" t="s">
        <v>217</v>
      </c>
      <c r="K37" s="79" t="s">
        <v>219</v>
      </c>
      <c r="L37" s="78">
        <v>6</v>
      </c>
      <c r="M37" s="109">
        <v>2288</v>
      </c>
      <c r="N37" s="88">
        <v>2.2837022752010234E-2</v>
      </c>
      <c r="O37" s="90">
        <v>9.8280098280098276</v>
      </c>
      <c r="P37" s="91">
        <v>0.22444248404924061</v>
      </c>
      <c r="Q37" s="92">
        <v>12</v>
      </c>
    </row>
    <row r="38" spans="1:17" s="76" customFormat="1">
      <c r="A38" s="76" t="s">
        <v>270</v>
      </c>
      <c r="B38" s="76" t="s">
        <v>258</v>
      </c>
      <c r="D38" s="78">
        <v>621</v>
      </c>
      <c r="E38" s="79" t="s">
        <v>271</v>
      </c>
      <c r="F38" s="79" t="s">
        <v>272</v>
      </c>
      <c r="G38" s="79" t="s">
        <v>200</v>
      </c>
      <c r="H38" s="88">
        <v>2.6833333333333331E-2</v>
      </c>
      <c r="I38" s="79" t="s">
        <v>192</v>
      </c>
      <c r="J38" s="79" t="s">
        <v>201</v>
      </c>
      <c r="K38" s="79" t="s">
        <v>274</v>
      </c>
      <c r="L38" s="78">
        <v>6</v>
      </c>
      <c r="M38" s="89"/>
      <c r="N38" s="88">
        <v>2.6833333333333331E-2</v>
      </c>
      <c r="O38" s="90">
        <v>9.8280098280098276</v>
      </c>
      <c r="P38" s="91">
        <v>0.26371826371826368</v>
      </c>
      <c r="Q38" s="92">
        <v>12</v>
      </c>
    </row>
    <row r="39" spans="1:17" s="76" customFormat="1">
      <c r="A39" s="76" t="s">
        <v>270</v>
      </c>
      <c r="B39" s="76" t="s">
        <v>258</v>
      </c>
      <c r="D39" s="78">
        <v>621</v>
      </c>
      <c r="E39" s="79" t="s">
        <v>271</v>
      </c>
      <c r="F39" s="79" t="s">
        <v>272</v>
      </c>
      <c r="G39" s="79" t="s">
        <v>200</v>
      </c>
      <c r="H39" s="88">
        <v>3.3999999999999996E-2</v>
      </c>
      <c r="I39" s="79" t="s">
        <v>192</v>
      </c>
      <c r="J39" s="79" t="s">
        <v>201</v>
      </c>
      <c r="K39" s="79" t="s">
        <v>275</v>
      </c>
      <c r="L39" s="78">
        <v>6</v>
      </c>
      <c r="M39" s="89"/>
      <c r="N39" s="88">
        <v>3.3999999999999996E-2</v>
      </c>
      <c r="O39" s="90">
        <v>9.8280098280098276</v>
      </c>
      <c r="P39" s="91">
        <v>0.33415233415233409</v>
      </c>
      <c r="Q39" s="92">
        <v>12</v>
      </c>
    </row>
    <row r="40" spans="1:17" s="76" customFormat="1">
      <c r="A40" s="76" t="s">
        <v>270</v>
      </c>
      <c r="B40" s="76" t="s">
        <v>258</v>
      </c>
      <c r="D40" s="78">
        <v>621</v>
      </c>
      <c r="E40" s="79" t="s">
        <v>271</v>
      </c>
      <c r="F40" s="79" t="s">
        <v>272</v>
      </c>
      <c r="G40" s="79" t="s">
        <v>200</v>
      </c>
      <c r="H40" s="88">
        <v>3.7166666666666674E-2</v>
      </c>
      <c r="I40" s="79" t="s">
        <v>192</v>
      </c>
      <c r="J40" s="79" t="s">
        <v>201</v>
      </c>
      <c r="K40" s="79" t="s">
        <v>276</v>
      </c>
      <c r="L40" s="78">
        <v>6</v>
      </c>
      <c r="M40" s="108"/>
      <c r="N40" s="88">
        <v>3.7166666666666674E-2</v>
      </c>
      <c r="O40" s="90">
        <v>9.8280098280098276</v>
      </c>
      <c r="P40" s="91">
        <v>0.36527436527436535</v>
      </c>
      <c r="Q40" s="92">
        <v>12</v>
      </c>
    </row>
    <row r="41" spans="1:17" s="76" customFormat="1">
      <c r="A41" s="76" t="s">
        <v>270</v>
      </c>
      <c r="B41" s="76" t="s">
        <v>258</v>
      </c>
      <c r="D41" s="78">
        <v>621</v>
      </c>
      <c r="E41" s="79" t="s">
        <v>271</v>
      </c>
      <c r="F41" s="79" t="s">
        <v>272</v>
      </c>
      <c r="G41" s="79" t="s">
        <v>200</v>
      </c>
      <c r="H41" s="88">
        <v>4.016666666666667E-2</v>
      </c>
      <c r="I41" s="79" t="s">
        <v>192</v>
      </c>
      <c r="J41" s="79" t="s">
        <v>201</v>
      </c>
      <c r="K41" s="79" t="s">
        <v>277</v>
      </c>
      <c r="L41" s="78">
        <v>6</v>
      </c>
      <c r="M41" s="89"/>
      <c r="N41" s="110">
        <v>4.016666666666667E-2</v>
      </c>
      <c r="O41" s="90">
        <v>9.8280098280098276</v>
      </c>
      <c r="P41" s="91">
        <v>0.39475839475839475</v>
      </c>
      <c r="Q41" s="92">
        <v>12</v>
      </c>
    </row>
    <row r="42" spans="1:17" s="76" customFormat="1">
      <c r="A42" s="76" t="s">
        <v>278</v>
      </c>
      <c r="B42" s="76" t="s">
        <v>279</v>
      </c>
      <c r="D42" s="78">
        <v>6043</v>
      </c>
      <c r="E42" s="79" t="s">
        <v>280</v>
      </c>
      <c r="F42" s="79" t="s">
        <v>281</v>
      </c>
      <c r="G42" s="79" t="s">
        <v>200</v>
      </c>
      <c r="H42" s="88">
        <v>1.7999999999999999E-2</v>
      </c>
      <c r="I42" s="79" t="s">
        <v>192</v>
      </c>
      <c r="J42" s="79" t="s">
        <v>201</v>
      </c>
      <c r="K42" s="79" t="s">
        <v>282</v>
      </c>
      <c r="L42" s="78">
        <v>3</v>
      </c>
      <c r="M42" s="89"/>
      <c r="N42" s="88">
        <v>1.7999999999999999E-2</v>
      </c>
      <c r="O42" s="90">
        <v>10.523864959254947</v>
      </c>
      <c r="P42" s="91">
        <v>0.18942956926658902</v>
      </c>
      <c r="Q42" s="92">
        <v>13</v>
      </c>
    </row>
    <row r="43" spans="1:17" s="76" customFormat="1">
      <c r="A43" s="76" t="s">
        <v>278</v>
      </c>
      <c r="B43" s="76" t="s">
        <v>279</v>
      </c>
      <c r="D43" s="78">
        <v>6043</v>
      </c>
      <c r="E43" s="79" t="s">
        <v>280</v>
      </c>
      <c r="F43" s="79" t="s">
        <v>281</v>
      </c>
      <c r="G43" s="79" t="s">
        <v>200</v>
      </c>
      <c r="H43" s="88">
        <v>2.1243975885362865E-2</v>
      </c>
      <c r="I43" s="79" t="s">
        <v>192</v>
      </c>
      <c r="J43" s="79" t="s">
        <v>217</v>
      </c>
      <c r="K43" s="79" t="s">
        <v>219</v>
      </c>
      <c r="L43" s="78">
        <v>6</v>
      </c>
      <c r="M43" s="109">
        <v>2290</v>
      </c>
      <c r="N43" s="88">
        <v>2.1243975885362865E-2</v>
      </c>
      <c r="O43" s="90">
        <v>10.523864959254947</v>
      </c>
      <c r="P43" s="91">
        <v>0.22356873341522734</v>
      </c>
      <c r="Q43" s="92">
        <v>13</v>
      </c>
    </row>
    <row r="44" spans="1:17" s="76" customFormat="1">
      <c r="A44" s="76" t="s">
        <v>278</v>
      </c>
      <c r="B44" s="76" t="s">
        <v>279</v>
      </c>
      <c r="D44" s="78">
        <v>6043</v>
      </c>
      <c r="E44" s="79" t="s">
        <v>280</v>
      </c>
      <c r="F44" s="79" t="s">
        <v>281</v>
      </c>
      <c r="G44" s="79" t="s">
        <v>200</v>
      </c>
      <c r="H44" s="88">
        <v>2.7333333333333331E-2</v>
      </c>
      <c r="I44" s="79" t="s">
        <v>192</v>
      </c>
      <c r="J44" s="79" t="s">
        <v>201</v>
      </c>
      <c r="K44" s="79" t="s">
        <v>283</v>
      </c>
      <c r="L44" s="78">
        <v>3</v>
      </c>
      <c r="M44" s="89"/>
      <c r="N44" s="88">
        <v>2.7333333333333331E-2</v>
      </c>
      <c r="O44" s="90">
        <v>10.523864959254947</v>
      </c>
      <c r="P44" s="91">
        <v>0.28765230888630189</v>
      </c>
      <c r="Q44" s="92">
        <v>13</v>
      </c>
    </row>
    <row r="45" spans="1:17" s="76" customFormat="1">
      <c r="A45" s="76" t="s">
        <v>278</v>
      </c>
      <c r="B45" s="76" t="s">
        <v>279</v>
      </c>
      <c r="D45" s="78">
        <v>6043</v>
      </c>
      <c r="E45" s="79" t="s">
        <v>280</v>
      </c>
      <c r="F45" s="79" t="s">
        <v>281</v>
      </c>
      <c r="G45" s="79" t="s">
        <v>200</v>
      </c>
      <c r="H45" s="88">
        <v>2.8999999999999998E-2</v>
      </c>
      <c r="I45" s="79" t="s">
        <v>192</v>
      </c>
      <c r="J45" s="79" t="s">
        <v>201</v>
      </c>
      <c r="K45" s="79" t="s">
        <v>284</v>
      </c>
      <c r="L45" s="78">
        <v>3</v>
      </c>
      <c r="M45" s="89"/>
      <c r="N45" s="88">
        <v>2.8999999999999998E-2</v>
      </c>
      <c r="O45" s="90">
        <v>10.523864959254947</v>
      </c>
      <c r="P45" s="91">
        <v>0.30519208381839347</v>
      </c>
      <c r="Q45" s="92">
        <v>13</v>
      </c>
    </row>
    <row r="46" spans="1:17" s="76" customFormat="1">
      <c r="A46" s="76" t="s">
        <v>278</v>
      </c>
      <c r="B46" s="76" t="s">
        <v>279</v>
      </c>
      <c r="D46" s="78">
        <v>6043</v>
      </c>
      <c r="E46" s="79" t="s">
        <v>280</v>
      </c>
      <c r="F46" s="79" t="s">
        <v>281</v>
      </c>
      <c r="G46" s="79" t="s">
        <v>200</v>
      </c>
      <c r="H46" s="88">
        <v>3.3666666666666671E-2</v>
      </c>
      <c r="I46" s="79" t="s">
        <v>192</v>
      </c>
      <c r="J46" s="79" t="s">
        <v>201</v>
      </c>
      <c r="K46" s="79" t="s">
        <v>285</v>
      </c>
      <c r="L46" s="78">
        <v>3</v>
      </c>
      <c r="M46" s="89"/>
      <c r="N46" s="88">
        <v>3.3666666666666671E-2</v>
      </c>
      <c r="O46" s="90">
        <v>10.523864959254947</v>
      </c>
      <c r="P46" s="91">
        <v>0.35430345362824994</v>
      </c>
      <c r="Q46" s="92">
        <v>13</v>
      </c>
    </row>
    <row r="47" spans="1:17" s="76" customFormat="1">
      <c r="A47" s="76" t="s">
        <v>278</v>
      </c>
      <c r="B47" s="76" t="s">
        <v>279</v>
      </c>
      <c r="D47" s="78">
        <v>6043</v>
      </c>
      <c r="E47" s="79" t="s">
        <v>280</v>
      </c>
      <c r="F47" s="79" t="s">
        <v>281</v>
      </c>
      <c r="G47" s="79" t="s">
        <v>200</v>
      </c>
      <c r="H47" s="88">
        <v>3.9E-2</v>
      </c>
      <c r="I47" s="79" t="s">
        <v>192</v>
      </c>
      <c r="J47" s="79" t="s">
        <v>201</v>
      </c>
      <c r="K47" s="79" t="s">
        <v>286</v>
      </c>
      <c r="L47" s="78">
        <v>3</v>
      </c>
      <c r="M47" s="89"/>
      <c r="N47" s="88">
        <v>3.9E-2</v>
      </c>
      <c r="O47" s="90">
        <v>10.523864959254947</v>
      </c>
      <c r="P47" s="91">
        <v>0.41043073341094294</v>
      </c>
      <c r="Q47" s="92">
        <v>13</v>
      </c>
    </row>
    <row r="48" spans="1:17" s="76" customFormat="1">
      <c r="A48" s="76" t="s">
        <v>287</v>
      </c>
      <c r="B48" s="76" t="s">
        <v>288</v>
      </c>
      <c r="D48" s="78">
        <v>609</v>
      </c>
      <c r="E48" s="79" t="s">
        <v>289</v>
      </c>
      <c r="F48" s="79" t="s">
        <v>290</v>
      </c>
      <c r="G48" s="79" t="s">
        <v>200</v>
      </c>
      <c r="H48" s="88">
        <v>2.2833333333333334E-2</v>
      </c>
      <c r="I48" s="79" t="s">
        <v>192</v>
      </c>
      <c r="J48" s="79" t="s">
        <v>201</v>
      </c>
      <c r="K48" s="79" t="s">
        <v>291</v>
      </c>
      <c r="L48" s="78">
        <v>6</v>
      </c>
      <c r="M48" s="108"/>
      <c r="N48" s="88">
        <v>2.2833333333333334E-2</v>
      </c>
      <c r="O48" s="90">
        <v>10.075566750629722</v>
      </c>
      <c r="P48" s="91">
        <v>0.23005877413937867</v>
      </c>
      <c r="Q48" s="92">
        <v>14</v>
      </c>
    </row>
    <row r="49" spans="1:17" s="76" customFormat="1">
      <c r="A49" s="76" t="s">
        <v>287</v>
      </c>
      <c r="B49" s="76" t="s">
        <v>288</v>
      </c>
      <c r="D49" s="78">
        <v>609</v>
      </c>
      <c r="E49" s="79" t="s">
        <v>289</v>
      </c>
      <c r="F49" s="79" t="s">
        <v>290</v>
      </c>
      <c r="G49" s="79" t="s">
        <v>200</v>
      </c>
      <c r="H49" s="88">
        <v>2.6166666666666668E-2</v>
      </c>
      <c r="I49" s="79" t="s">
        <v>192</v>
      </c>
      <c r="J49" s="79" t="s">
        <v>201</v>
      </c>
      <c r="K49" s="79" t="s">
        <v>292</v>
      </c>
      <c r="L49" s="78">
        <v>6</v>
      </c>
      <c r="M49" s="89"/>
      <c r="N49" s="110">
        <v>2.6166666666666668E-2</v>
      </c>
      <c r="O49" s="90">
        <v>10.075566750629722</v>
      </c>
      <c r="P49" s="91">
        <v>0.26364399664147775</v>
      </c>
      <c r="Q49" s="92">
        <v>14</v>
      </c>
    </row>
    <row r="50" spans="1:17" s="76" customFormat="1">
      <c r="A50" s="76" t="s">
        <v>287</v>
      </c>
      <c r="B50" s="76" t="s">
        <v>288</v>
      </c>
      <c r="D50" s="78">
        <v>609</v>
      </c>
      <c r="E50" s="79" t="s">
        <v>289</v>
      </c>
      <c r="F50" s="79" t="s">
        <v>290</v>
      </c>
      <c r="G50" s="79" t="s">
        <v>200</v>
      </c>
      <c r="H50" s="88">
        <v>3.1166666666666665E-2</v>
      </c>
      <c r="I50" s="79" t="s">
        <v>192</v>
      </c>
      <c r="J50" s="79" t="s">
        <v>201</v>
      </c>
      <c r="K50" s="79" t="s">
        <v>293</v>
      </c>
      <c r="L50" s="78">
        <v>6</v>
      </c>
      <c r="M50" s="89"/>
      <c r="N50" s="110">
        <v>3.1166666666666665E-2</v>
      </c>
      <c r="O50" s="90">
        <v>10.075566750629722</v>
      </c>
      <c r="P50" s="91">
        <v>0.31402183039462633</v>
      </c>
      <c r="Q50" s="92">
        <v>14</v>
      </c>
    </row>
    <row r="51" spans="1:17" s="76" customFormat="1">
      <c r="A51" s="76" t="s">
        <v>287</v>
      </c>
      <c r="B51" s="76" t="s">
        <v>288</v>
      </c>
      <c r="D51" s="78">
        <v>609</v>
      </c>
      <c r="E51" s="79" t="s">
        <v>289</v>
      </c>
      <c r="F51" s="79" t="s">
        <v>290</v>
      </c>
      <c r="G51" s="79" t="s">
        <v>200</v>
      </c>
      <c r="H51" s="88">
        <v>4.3000000000000003E-2</v>
      </c>
      <c r="I51" s="79" t="s">
        <v>192</v>
      </c>
      <c r="J51" s="79" t="s">
        <v>201</v>
      </c>
      <c r="K51" s="79" t="s">
        <v>294</v>
      </c>
      <c r="L51" s="78">
        <v>6</v>
      </c>
      <c r="M51" s="108"/>
      <c r="N51" s="88">
        <v>4.3000000000000003E-2</v>
      </c>
      <c r="O51" s="90">
        <v>10.075566750629722</v>
      </c>
      <c r="P51" s="91">
        <v>0.43324937027707811</v>
      </c>
      <c r="Q51" s="92">
        <v>14</v>
      </c>
    </row>
    <row r="52" spans="1:17" s="76" customFormat="1">
      <c r="A52" s="76" t="s">
        <v>287</v>
      </c>
      <c r="B52" s="76" t="s">
        <v>288</v>
      </c>
      <c r="D52" s="78">
        <v>609</v>
      </c>
      <c r="E52" s="79" t="s">
        <v>289</v>
      </c>
      <c r="F52" s="79" t="s">
        <v>290</v>
      </c>
      <c r="G52" s="79" t="s">
        <v>200</v>
      </c>
      <c r="H52" s="88">
        <v>5.3166666666666668E-2</v>
      </c>
      <c r="I52" s="79" t="s">
        <v>192</v>
      </c>
      <c r="J52" s="79" t="s">
        <v>201</v>
      </c>
      <c r="K52" s="79" t="s">
        <v>295</v>
      </c>
      <c r="L52" s="78">
        <v>6</v>
      </c>
      <c r="M52" s="108"/>
      <c r="N52" s="88">
        <v>5.3166666666666668E-2</v>
      </c>
      <c r="O52" s="90">
        <v>10.075566750629722</v>
      </c>
      <c r="P52" s="91">
        <v>0.53568429890848024</v>
      </c>
      <c r="Q52" s="92">
        <v>14</v>
      </c>
    </row>
    <row r="53" spans="1:17" s="76" customFormat="1">
      <c r="A53" s="76" t="s">
        <v>296</v>
      </c>
      <c r="B53" s="76" t="s">
        <v>297</v>
      </c>
      <c r="D53" s="78">
        <v>6042</v>
      </c>
      <c r="E53" s="79" t="s">
        <v>298</v>
      </c>
      <c r="F53" s="79" t="s">
        <v>299</v>
      </c>
      <c r="G53" s="79" t="s">
        <v>200</v>
      </c>
      <c r="H53" s="88">
        <v>2.2974914703364754E-2</v>
      </c>
      <c r="I53" s="79" t="s">
        <v>192</v>
      </c>
      <c r="J53" s="79" t="s">
        <v>217</v>
      </c>
      <c r="K53" s="79" t="s">
        <v>219</v>
      </c>
      <c r="L53" s="78">
        <v>6</v>
      </c>
      <c r="M53" s="78">
        <v>2292</v>
      </c>
      <c r="N53" s="88">
        <v>2.2974914703364754E-2</v>
      </c>
      <c r="O53" s="90">
        <v>10.128805620608899</v>
      </c>
      <c r="P53" s="91">
        <v>0.23270844518045097</v>
      </c>
      <c r="Q53" s="92">
        <v>15</v>
      </c>
    </row>
    <row r="54" spans="1:17" s="76" customFormat="1">
      <c r="A54" s="76" t="s">
        <v>296</v>
      </c>
      <c r="B54" s="76" t="s">
        <v>297</v>
      </c>
      <c r="D54" s="78">
        <v>6042</v>
      </c>
      <c r="E54" s="79" t="s">
        <v>298</v>
      </c>
      <c r="F54" s="79" t="s">
        <v>299</v>
      </c>
      <c r="G54" s="79" t="s">
        <v>200</v>
      </c>
      <c r="H54" s="88">
        <v>2.8500000000000001E-2</v>
      </c>
      <c r="I54" s="79" t="s">
        <v>192</v>
      </c>
      <c r="J54" s="79" t="s">
        <v>201</v>
      </c>
      <c r="K54" s="79" t="s">
        <v>300</v>
      </c>
      <c r="L54" s="78">
        <v>6</v>
      </c>
      <c r="M54" s="89"/>
      <c r="N54" s="88">
        <v>2.8500000000000001E-2</v>
      </c>
      <c r="O54" s="90">
        <v>10.128805620608899</v>
      </c>
      <c r="P54" s="91">
        <v>0.28867096018735366</v>
      </c>
      <c r="Q54" s="92">
        <v>15</v>
      </c>
    </row>
    <row r="55" spans="1:17" s="76" customFormat="1">
      <c r="A55" s="76" t="s">
        <v>296</v>
      </c>
      <c r="B55" s="76" t="s">
        <v>297</v>
      </c>
      <c r="D55" s="78">
        <v>6042</v>
      </c>
      <c r="E55" s="79" t="s">
        <v>298</v>
      </c>
      <c r="F55" s="79" t="s">
        <v>299</v>
      </c>
      <c r="G55" s="79" t="s">
        <v>200</v>
      </c>
      <c r="H55" s="88">
        <v>3.0166666666666665E-2</v>
      </c>
      <c r="I55" s="79" t="s">
        <v>192</v>
      </c>
      <c r="J55" s="79" t="s">
        <v>201</v>
      </c>
      <c r="K55" s="79" t="s">
        <v>301</v>
      </c>
      <c r="L55" s="78">
        <v>6</v>
      </c>
      <c r="M55" s="108"/>
      <c r="N55" s="88">
        <v>3.0166666666666665E-2</v>
      </c>
      <c r="O55" s="90">
        <v>10.128805620608899</v>
      </c>
      <c r="P55" s="91">
        <v>0.30555230288836843</v>
      </c>
      <c r="Q55" s="92">
        <v>15</v>
      </c>
    </row>
    <row r="56" spans="1:17" s="76" customFormat="1">
      <c r="A56" s="76" t="s">
        <v>296</v>
      </c>
      <c r="B56" s="76" t="s">
        <v>297</v>
      </c>
      <c r="D56" s="78">
        <v>6042</v>
      </c>
      <c r="E56" s="79" t="s">
        <v>298</v>
      </c>
      <c r="F56" s="79" t="s">
        <v>299</v>
      </c>
      <c r="G56" s="79" t="s">
        <v>200</v>
      </c>
      <c r="H56" s="88">
        <v>3.95E-2</v>
      </c>
      <c r="I56" s="79" t="s">
        <v>192</v>
      </c>
      <c r="J56" s="79" t="s">
        <v>201</v>
      </c>
      <c r="K56" s="79" t="s">
        <v>302</v>
      </c>
      <c r="L56" s="78">
        <v>6</v>
      </c>
      <c r="M56" s="89"/>
      <c r="N56" s="88">
        <v>3.95E-2</v>
      </c>
      <c r="O56" s="90">
        <v>10.128805620608899</v>
      </c>
      <c r="P56" s="91">
        <v>0.40008782201405152</v>
      </c>
      <c r="Q56" s="92">
        <v>15</v>
      </c>
    </row>
    <row r="57" spans="1:17" s="76" customFormat="1">
      <c r="A57" s="76" t="s">
        <v>296</v>
      </c>
      <c r="B57" s="76" t="s">
        <v>297</v>
      </c>
      <c r="D57" s="78">
        <v>6042</v>
      </c>
      <c r="E57" s="79" t="s">
        <v>298</v>
      </c>
      <c r="F57" s="79" t="s">
        <v>299</v>
      </c>
      <c r="G57" s="79" t="s">
        <v>200</v>
      </c>
      <c r="H57" s="88">
        <v>4.2000000000000003E-2</v>
      </c>
      <c r="I57" s="79" t="s">
        <v>192</v>
      </c>
      <c r="J57" s="79" t="s">
        <v>201</v>
      </c>
      <c r="K57" s="79" t="s">
        <v>303</v>
      </c>
      <c r="L57" s="78">
        <v>6</v>
      </c>
      <c r="M57" s="108"/>
      <c r="N57" s="88">
        <v>4.2000000000000003E-2</v>
      </c>
      <c r="O57" s="90">
        <v>10.128805620608899</v>
      </c>
      <c r="P57" s="91">
        <v>0.42540983606557381</v>
      </c>
      <c r="Q57" s="92">
        <v>15</v>
      </c>
    </row>
    <row r="58" spans="1:17" s="76" customFormat="1">
      <c r="A58" s="76" t="s">
        <v>296</v>
      </c>
      <c r="B58" s="76" t="s">
        <v>297</v>
      </c>
      <c r="D58" s="78">
        <v>6042</v>
      </c>
      <c r="E58" s="79" t="s">
        <v>298</v>
      </c>
      <c r="F58" s="79" t="s">
        <v>299</v>
      </c>
      <c r="G58" s="79" t="s">
        <v>200</v>
      </c>
      <c r="H58" s="88">
        <v>4.4000000000000004E-2</v>
      </c>
      <c r="I58" s="79" t="s">
        <v>192</v>
      </c>
      <c r="J58" s="79" t="s">
        <v>201</v>
      </c>
      <c r="K58" s="79" t="s">
        <v>304</v>
      </c>
      <c r="L58" s="78">
        <v>6</v>
      </c>
      <c r="M58" s="89"/>
      <c r="N58" s="110">
        <v>4.4000000000000004E-2</v>
      </c>
      <c r="O58" s="90">
        <v>10.128805620608899</v>
      </c>
      <c r="P58" s="91">
        <v>0.44566744730679159</v>
      </c>
      <c r="Q58" s="92">
        <v>15</v>
      </c>
    </row>
    <row r="59" spans="1:17" s="76" customFormat="1">
      <c r="A59" s="76" t="s">
        <v>305</v>
      </c>
      <c r="B59" s="76" t="s">
        <v>249</v>
      </c>
      <c r="D59" s="78">
        <v>2493</v>
      </c>
      <c r="E59" s="79" t="s">
        <v>306</v>
      </c>
      <c r="F59" s="79" t="s">
        <v>306</v>
      </c>
      <c r="G59" s="79" t="s">
        <v>200</v>
      </c>
      <c r="H59" s="88">
        <v>2.4E-2</v>
      </c>
      <c r="I59" s="79" t="s">
        <v>192</v>
      </c>
      <c r="J59" s="79" t="s">
        <v>201</v>
      </c>
      <c r="K59" s="79" t="s">
        <v>307</v>
      </c>
      <c r="L59" s="78">
        <v>1</v>
      </c>
      <c r="M59" s="108"/>
      <c r="N59" s="108"/>
      <c r="O59" s="90">
        <v>10.01010101010101</v>
      </c>
      <c r="P59" s="91">
        <v>0</v>
      </c>
      <c r="Q59" s="92">
        <v>16</v>
      </c>
    </row>
    <row r="60" spans="1:17" s="76" customFormat="1">
      <c r="A60" s="76" t="s">
        <v>308</v>
      </c>
      <c r="B60" s="76" t="s">
        <v>309</v>
      </c>
      <c r="D60" s="78">
        <v>667</v>
      </c>
      <c r="E60" s="79" t="s">
        <v>268</v>
      </c>
      <c r="F60" s="79" t="s">
        <v>268</v>
      </c>
      <c r="G60" s="79" t="s">
        <v>200</v>
      </c>
      <c r="H60" s="88">
        <v>2.7266666666666665E-2</v>
      </c>
      <c r="I60" s="79" t="s">
        <v>192</v>
      </c>
      <c r="J60" s="79" t="s">
        <v>201</v>
      </c>
      <c r="K60" s="79" t="s">
        <v>310</v>
      </c>
      <c r="L60" s="78">
        <v>3</v>
      </c>
      <c r="M60" s="89"/>
      <c r="N60" s="88">
        <v>2.7266666666666665E-2</v>
      </c>
      <c r="O60" s="90">
        <v>9.0278810408921935</v>
      </c>
      <c r="P60" s="91">
        <v>0.24616022304832713</v>
      </c>
      <c r="Q60" s="92">
        <v>17</v>
      </c>
    </row>
    <row r="61" spans="1:17" s="76" customFormat="1">
      <c r="A61" s="76" t="s">
        <v>308</v>
      </c>
      <c r="B61" s="76" t="s">
        <v>309</v>
      </c>
      <c r="D61" s="78">
        <v>667</v>
      </c>
      <c r="E61" s="79" t="s">
        <v>268</v>
      </c>
      <c r="F61" s="79" t="s">
        <v>268</v>
      </c>
      <c r="G61" s="79" t="s">
        <v>200</v>
      </c>
      <c r="H61" s="88">
        <v>3.9333333333333331E-2</v>
      </c>
      <c r="I61" s="79" t="s">
        <v>192</v>
      </c>
      <c r="J61" s="79" t="s">
        <v>201</v>
      </c>
      <c r="K61" s="79" t="s">
        <v>311</v>
      </c>
      <c r="L61" s="78">
        <v>3</v>
      </c>
      <c r="M61" s="108"/>
      <c r="N61" s="88">
        <v>3.9333333333333331E-2</v>
      </c>
      <c r="O61" s="90">
        <v>9.0278810408921935</v>
      </c>
      <c r="P61" s="91">
        <v>0.3550966542750929</v>
      </c>
      <c r="Q61" s="92">
        <v>17</v>
      </c>
    </row>
    <row r="62" spans="1:17" s="76" customFormat="1">
      <c r="A62" s="76" t="s">
        <v>308</v>
      </c>
      <c r="B62" s="76" t="s">
        <v>309</v>
      </c>
      <c r="D62" s="78">
        <v>667</v>
      </c>
      <c r="E62" s="79" t="s">
        <v>268</v>
      </c>
      <c r="F62" s="79" t="s">
        <v>268</v>
      </c>
      <c r="G62" s="79" t="s">
        <v>200</v>
      </c>
      <c r="H62" s="88">
        <v>4.4315922280589219E-2</v>
      </c>
      <c r="I62" s="79" t="s">
        <v>192</v>
      </c>
      <c r="J62" s="79" t="s">
        <v>217</v>
      </c>
      <c r="K62" s="79" t="s">
        <v>219</v>
      </c>
      <c r="L62" s="78">
        <v>6</v>
      </c>
      <c r="M62" s="78">
        <v>2186</v>
      </c>
      <c r="N62" s="88">
        <v>4.4315922280589219E-2</v>
      </c>
      <c r="O62" s="90">
        <v>9.0278810408921935</v>
      </c>
      <c r="P62" s="91">
        <v>0.40007887456658336</v>
      </c>
      <c r="Q62" s="92">
        <v>17</v>
      </c>
    </row>
    <row r="63" spans="1:17" s="76" customFormat="1">
      <c r="A63" s="76" t="s">
        <v>308</v>
      </c>
      <c r="B63" s="76" t="s">
        <v>309</v>
      </c>
      <c r="D63" s="78">
        <v>667</v>
      </c>
      <c r="E63" s="79" t="s">
        <v>268</v>
      </c>
      <c r="F63" s="79" t="s">
        <v>268</v>
      </c>
      <c r="G63" s="79" t="s">
        <v>200</v>
      </c>
      <c r="H63" s="88">
        <v>4.4666666666666667E-2</v>
      </c>
      <c r="I63" s="79" t="s">
        <v>192</v>
      </c>
      <c r="J63" s="79" t="s">
        <v>201</v>
      </c>
      <c r="K63" s="79" t="s">
        <v>312</v>
      </c>
      <c r="L63" s="78">
        <v>3</v>
      </c>
      <c r="M63" s="108"/>
      <c r="N63" s="88">
        <v>4.4666666666666667E-2</v>
      </c>
      <c r="O63" s="90">
        <v>9.0278810408921935</v>
      </c>
      <c r="P63" s="91">
        <v>0.40324535315985133</v>
      </c>
      <c r="Q63" s="92">
        <v>17</v>
      </c>
    </row>
    <row r="64" spans="1:17" s="76" customFormat="1">
      <c r="A64" s="76" t="s">
        <v>308</v>
      </c>
      <c r="B64" s="76" t="s">
        <v>309</v>
      </c>
      <c r="D64" s="78">
        <v>667</v>
      </c>
      <c r="E64" s="79" t="s">
        <v>268</v>
      </c>
      <c r="F64" s="79" t="s">
        <v>268</v>
      </c>
      <c r="G64" s="79" t="s">
        <v>200</v>
      </c>
      <c r="H64" s="88">
        <v>5.1999999999999998E-2</v>
      </c>
      <c r="I64" s="79" t="s">
        <v>192</v>
      </c>
      <c r="J64" s="79" t="s">
        <v>201</v>
      </c>
      <c r="K64" s="79" t="s">
        <v>313</v>
      </c>
      <c r="L64" s="78">
        <v>3</v>
      </c>
      <c r="M64" s="89"/>
      <c r="N64" s="110">
        <v>5.1999999999999998E-2</v>
      </c>
      <c r="O64" s="90">
        <v>9.0278810408921935</v>
      </c>
      <c r="P64" s="91">
        <v>0.46944981412639403</v>
      </c>
      <c r="Q64" s="92">
        <v>17</v>
      </c>
    </row>
    <row r="65" spans="1:17" s="76" customFormat="1">
      <c r="A65" s="76" t="s">
        <v>308</v>
      </c>
      <c r="B65" s="76" t="s">
        <v>309</v>
      </c>
      <c r="D65" s="78">
        <v>667</v>
      </c>
      <c r="E65" s="79" t="s">
        <v>268</v>
      </c>
      <c r="F65" s="79" t="s">
        <v>268</v>
      </c>
      <c r="G65" s="79" t="s">
        <v>200</v>
      </c>
      <c r="H65" s="88">
        <v>5.2999999999999999E-2</v>
      </c>
      <c r="I65" s="79" t="s">
        <v>192</v>
      </c>
      <c r="J65" s="79" t="s">
        <v>201</v>
      </c>
      <c r="K65" s="79" t="s">
        <v>314</v>
      </c>
      <c r="L65" s="78">
        <v>3</v>
      </c>
      <c r="M65" s="89"/>
      <c r="N65" s="110">
        <v>5.2999999999999999E-2</v>
      </c>
      <c r="O65" s="90">
        <v>9.0278810408921935</v>
      </c>
      <c r="P65" s="91">
        <v>0.47847769516728622</v>
      </c>
      <c r="Q65" s="92">
        <v>17</v>
      </c>
    </row>
    <row r="66" spans="1:17" s="76" customFormat="1">
      <c r="A66" s="76" t="s">
        <v>308</v>
      </c>
      <c r="B66" s="76" t="s">
        <v>309</v>
      </c>
      <c r="D66" s="78">
        <v>667</v>
      </c>
      <c r="E66" s="79" t="s">
        <v>268</v>
      </c>
      <c r="F66" s="79" t="s">
        <v>268</v>
      </c>
      <c r="G66" s="79" t="s">
        <v>200</v>
      </c>
      <c r="H66" s="88">
        <v>0.06</v>
      </c>
      <c r="I66" s="79" t="s">
        <v>192</v>
      </c>
      <c r="J66" s="79" t="s">
        <v>201</v>
      </c>
      <c r="K66" s="79" t="s">
        <v>315</v>
      </c>
      <c r="L66" s="78">
        <v>3</v>
      </c>
      <c r="M66" s="89"/>
      <c r="N66" s="88">
        <v>0.06</v>
      </c>
      <c r="O66" s="90">
        <v>9.0278810408921935</v>
      </c>
      <c r="P66" s="91">
        <v>0.54167286245353163</v>
      </c>
      <c r="Q66" s="92">
        <v>17</v>
      </c>
    </row>
    <row r="67" spans="1:17" s="76" customFormat="1">
      <c r="A67" s="76" t="s">
        <v>308</v>
      </c>
      <c r="B67" s="76" t="s">
        <v>309</v>
      </c>
      <c r="D67" s="78">
        <v>667</v>
      </c>
      <c r="E67" s="79" t="s">
        <v>268</v>
      </c>
      <c r="F67" s="79" t="s">
        <v>268</v>
      </c>
      <c r="G67" s="79" t="s">
        <v>200</v>
      </c>
      <c r="H67" s="88">
        <v>7.2666666666666671E-2</v>
      </c>
      <c r="I67" s="79" t="s">
        <v>192</v>
      </c>
      <c r="J67" s="79" t="s">
        <v>201</v>
      </c>
      <c r="K67" s="79" t="s">
        <v>316</v>
      </c>
      <c r="L67" s="78">
        <v>3</v>
      </c>
      <c r="M67" s="89"/>
      <c r="N67" s="110">
        <v>7.2666666666666671E-2</v>
      </c>
      <c r="O67" s="90">
        <v>9.0278810408921935</v>
      </c>
      <c r="P67" s="91">
        <v>0.65602602230483276</v>
      </c>
      <c r="Q67" s="92">
        <v>17</v>
      </c>
    </row>
    <row r="68" spans="1:17" s="76" customFormat="1">
      <c r="A68" s="76" t="s">
        <v>308</v>
      </c>
      <c r="B68" s="76" t="s">
        <v>309</v>
      </c>
      <c r="D68" s="78">
        <v>667</v>
      </c>
      <c r="E68" s="79" t="s">
        <v>268</v>
      </c>
      <c r="F68" s="79" t="s">
        <v>268</v>
      </c>
      <c r="G68" s="79" t="s">
        <v>200</v>
      </c>
      <c r="H68" s="88">
        <v>8.0666666666666664E-2</v>
      </c>
      <c r="I68" s="79" t="s">
        <v>192</v>
      </c>
      <c r="J68" s="79" t="s">
        <v>201</v>
      </c>
      <c r="K68" s="79" t="s">
        <v>317</v>
      </c>
      <c r="L68" s="78">
        <v>3</v>
      </c>
      <c r="M68" s="89"/>
      <c r="N68" s="110">
        <v>8.0666666666666664E-2</v>
      </c>
      <c r="O68" s="90">
        <v>9.0278810408921935</v>
      </c>
      <c r="P68" s="91">
        <v>0.7282490706319702</v>
      </c>
      <c r="Q68" s="92">
        <v>17</v>
      </c>
    </row>
    <row r="69" spans="1:17" s="76" customFormat="1">
      <c r="A69" s="76" t="s">
        <v>308</v>
      </c>
      <c r="B69" s="76" t="s">
        <v>309</v>
      </c>
      <c r="D69" s="78">
        <v>667</v>
      </c>
      <c r="E69" s="79" t="s">
        <v>268</v>
      </c>
      <c r="F69" s="79" t="s">
        <v>268</v>
      </c>
      <c r="G69" s="79" t="s">
        <v>200</v>
      </c>
      <c r="H69" s="88">
        <v>0.14166666666666669</v>
      </c>
      <c r="I69" s="79" t="s">
        <v>192</v>
      </c>
      <c r="J69" s="79" t="s">
        <v>201</v>
      </c>
      <c r="K69" s="79" t="s">
        <v>318</v>
      </c>
      <c r="L69" s="78">
        <v>3</v>
      </c>
      <c r="M69" s="89"/>
      <c r="N69" s="88">
        <v>0.14166666666666669</v>
      </c>
      <c r="O69" s="90">
        <v>9.0278810408921935</v>
      </c>
      <c r="P69" s="91">
        <v>1.2789498141263942</v>
      </c>
      <c r="Q69" s="92">
        <v>17</v>
      </c>
    </row>
    <row r="70" spans="1:17" s="76" customFormat="1">
      <c r="A70" s="76" t="s">
        <v>308</v>
      </c>
      <c r="B70" s="76" t="s">
        <v>309</v>
      </c>
      <c r="D70" s="78">
        <v>667</v>
      </c>
      <c r="E70" s="79" t="s">
        <v>268</v>
      </c>
      <c r="F70" s="79" t="s">
        <v>268</v>
      </c>
      <c r="G70" s="79" t="s">
        <v>200</v>
      </c>
      <c r="H70" s="88">
        <v>0.14266666666666669</v>
      </c>
      <c r="I70" s="79" t="s">
        <v>192</v>
      </c>
      <c r="J70" s="79" t="s">
        <v>201</v>
      </c>
      <c r="K70" s="79" t="s">
        <v>319</v>
      </c>
      <c r="L70" s="78">
        <v>3</v>
      </c>
      <c r="M70" s="89"/>
      <c r="N70" s="88">
        <v>0.14266666666666669</v>
      </c>
      <c r="O70" s="90">
        <v>9.0278810408921935</v>
      </c>
      <c r="P70" s="91">
        <v>1.2879776951672866</v>
      </c>
      <c r="Q70" s="92">
        <v>17</v>
      </c>
    </row>
    <row r="71" spans="1:17" s="76" customFormat="1">
      <c r="A71" s="76" t="s">
        <v>320</v>
      </c>
      <c r="B71" s="76" t="s">
        <v>267</v>
      </c>
      <c r="D71" s="78">
        <v>2516</v>
      </c>
      <c r="E71" s="79" t="s">
        <v>232</v>
      </c>
      <c r="F71" s="79" t="s">
        <v>321</v>
      </c>
      <c r="G71" s="79" t="s">
        <v>200</v>
      </c>
      <c r="H71" s="88">
        <v>2.6255603256551158E-2</v>
      </c>
      <c r="I71" s="79" t="s">
        <v>192</v>
      </c>
      <c r="J71" s="79" t="s">
        <v>217</v>
      </c>
      <c r="K71" s="79" t="s">
        <v>219</v>
      </c>
      <c r="L71" s="78">
        <v>6</v>
      </c>
      <c r="M71" s="109">
        <v>2053</v>
      </c>
      <c r="N71" s="88">
        <v>2.6255603256551158E-2</v>
      </c>
      <c r="O71" s="90">
        <v>9.7333333333333325</v>
      </c>
      <c r="P71" s="91">
        <v>0.25555453836376457</v>
      </c>
      <c r="Q71" s="92">
        <v>18</v>
      </c>
    </row>
    <row r="72" spans="1:17" s="76" customFormat="1">
      <c r="A72" s="76" t="s">
        <v>322</v>
      </c>
      <c r="B72" s="76" t="s">
        <v>279</v>
      </c>
      <c r="D72" s="78">
        <v>6043</v>
      </c>
      <c r="E72" s="79" t="s">
        <v>323</v>
      </c>
      <c r="F72" s="79" t="s">
        <v>324</v>
      </c>
      <c r="G72" s="79" t="s">
        <v>200</v>
      </c>
      <c r="H72" s="88">
        <v>2.4666666666666667E-2</v>
      </c>
      <c r="I72" s="79" t="s">
        <v>192</v>
      </c>
      <c r="J72" s="79" t="s">
        <v>201</v>
      </c>
      <c r="K72" s="79" t="s">
        <v>325</v>
      </c>
      <c r="L72" s="78">
        <v>3</v>
      </c>
      <c r="M72" s="108"/>
      <c r="N72" s="88">
        <v>2.4666666666666667E-2</v>
      </c>
      <c r="O72" s="90">
        <v>10.523864959254947</v>
      </c>
      <c r="P72" s="91">
        <v>0.25958866899495536</v>
      </c>
      <c r="Q72" s="92">
        <v>19</v>
      </c>
    </row>
    <row r="73" spans="1:17" s="76" customFormat="1">
      <c r="A73" s="76" t="s">
        <v>322</v>
      </c>
      <c r="B73" s="76" t="s">
        <v>279</v>
      </c>
      <c r="D73" s="78">
        <v>6043</v>
      </c>
      <c r="E73" s="79" t="s">
        <v>323</v>
      </c>
      <c r="F73" s="79" t="s">
        <v>324</v>
      </c>
      <c r="G73" s="79" t="s">
        <v>200</v>
      </c>
      <c r="H73" s="88">
        <v>2.7731743529263542E-2</v>
      </c>
      <c r="I73" s="79" t="s">
        <v>192</v>
      </c>
      <c r="J73" s="79" t="s">
        <v>217</v>
      </c>
      <c r="K73" s="79" t="s">
        <v>219</v>
      </c>
      <c r="L73" s="78">
        <v>6</v>
      </c>
      <c r="M73" s="109">
        <v>2289</v>
      </c>
      <c r="N73" s="88">
        <v>2.7731743529263542E-2</v>
      </c>
      <c r="O73" s="90">
        <v>10.523864959254947</v>
      </c>
      <c r="P73" s="91">
        <v>0.29184512398666174</v>
      </c>
      <c r="Q73" s="92">
        <v>19</v>
      </c>
    </row>
    <row r="74" spans="1:17" s="76" customFormat="1">
      <c r="A74" s="76" t="s">
        <v>322</v>
      </c>
      <c r="B74" s="76" t="s">
        <v>279</v>
      </c>
      <c r="D74" s="78">
        <v>6043</v>
      </c>
      <c r="E74" s="79" t="s">
        <v>323</v>
      </c>
      <c r="F74" s="79" t="s">
        <v>324</v>
      </c>
      <c r="G74" s="79" t="s">
        <v>200</v>
      </c>
      <c r="H74" s="88">
        <v>3.3000000000000002E-2</v>
      </c>
      <c r="I74" s="79" t="s">
        <v>192</v>
      </c>
      <c r="J74" s="79" t="s">
        <v>201</v>
      </c>
      <c r="K74" s="79" t="s">
        <v>326</v>
      </c>
      <c r="L74" s="78">
        <v>3</v>
      </c>
      <c r="M74" s="89"/>
      <c r="N74" s="88">
        <v>3.3000000000000002E-2</v>
      </c>
      <c r="O74" s="90">
        <v>10.523864959254947</v>
      </c>
      <c r="P74" s="91">
        <v>0.34728754365541326</v>
      </c>
      <c r="Q74" s="92">
        <v>19</v>
      </c>
    </row>
    <row r="75" spans="1:17" s="76" customFormat="1">
      <c r="A75" s="76" t="s">
        <v>322</v>
      </c>
      <c r="B75" s="76" t="s">
        <v>279</v>
      </c>
      <c r="D75" s="78">
        <v>6043</v>
      </c>
      <c r="E75" s="79" t="s">
        <v>323</v>
      </c>
      <c r="F75" s="79" t="s">
        <v>324</v>
      </c>
      <c r="G75" s="79" t="s">
        <v>200</v>
      </c>
      <c r="H75" s="88">
        <v>3.6999999999999998E-2</v>
      </c>
      <c r="I75" s="79" t="s">
        <v>192</v>
      </c>
      <c r="J75" s="79" t="s">
        <v>201</v>
      </c>
      <c r="K75" s="79" t="s">
        <v>327</v>
      </c>
      <c r="L75" s="78">
        <v>3</v>
      </c>
      <c r="M75" s="89"/>
      <c r="N75" s="88">
        <v>3.6999999999999998E-2</v>
      </c>
      <c r="O75" s="90">
        <v>10.523864959254947</v>
      </c>
      <c r="P75" s="91">
        <v>0.38938300349243304</v>
      </c>
      <c r="Q75" s="92">
        <v>19</v>
      </c>
    </row>
    <row r="76" spans="1:17" s="76" customFormat="1">
      <c r="A76" s="76" t="s">
        <v>322</v>
      </c>
      <c r="B76" s="76" t="s">
        <v>279</v>
      </c>
      <c r="D76" s="78">
        <v>6043</v>
      </c>
      <c r="E76" s="79" t="s">
        <v>323</v>
      </c>
      <c r="F76" s="79" t="s">
        <v>324</v>
      </c>
      <c r="G76" s="79" t="s">
        <v>200</v>
      </c>
      <c r="H76" s="88">
        <v>3.8333333333333337E-2</v>
      </c>
      <c r="I76" s="79" t="s">
        <v>192</v>
      </c>
      <c r="J76" s="79" t="s">
        <v>201</v>
      </c>
      <c r="K76" s="79" t="s">
        <v>328</v>
      </c>
      <c r="L76" s="78">
        <v>3</v>
      </c>
      <c r="M76" s="89"/>
      <c r="N76" s="88">
        <v>3.8333333333333337E-2</v>
      </c>
      <c r="O76" s="90">
        <v>10.523864959254947</v>
      </c>
      <c r="P76" s="91">
        <v>0.40341482343810636</v>
      </c>
      <c r="Q76" s="92">
        <v>19</v>
      </c>
    </row>
    <row r="77" spans="1:17" s="76" customFormat="1">
      <c r="A77" s="76" t="s">
        <v>322</v>
      </c>
      <c r="B77" s="76" t="s">
        <v>279</v>
      </c>
      <c r="D77" s="78">
        <v>6043</v>
      </c>
      <c r="E77" s="79" t="s">
        <v>323</v>
      </c>
      <c r="F77" s="79" t="s">
        <v>324</v>
      </c>
      <c r="G77" s="79" t="s">
        <v>200</v>
      </c>
      <c r="H77" s="88">
        <v>4.1333333333333333E-2</v>
      </c>
      <c r="I77" s="79" t="s">
        <v>192</v>
      </c>
      <c r="J77" s="79" t="s">
        <v>201</v>
      </c>
      <c r="K77" s="79" t="s">
        <v>329</v>
      </c>
      <c r="L77" s="78">
        <v>3</v>
      </c>
      <c r="M77" s="89"/>
      <c r="N77" s="88">
        <v>4.1333333333333333E-2</v>
      </c>
      <c r="O77" s="90">
        <v>10.523864959254947</v>
      </c>
      <c r="P77" s="91">
        <v>0.43498641831587115</v>
      </c>
      <c r="Q77" s="92">
        <v>19</v>
      </c>
    </row>
    <row r="78" spans="1:17" s="76" customFormat="1">
      <c r="A78" s="76" t="s">
        <v>330</v>
      </c>
      <c r="B78" s="76" t="s">
        <v>253</v>
      </c>
      <c r="D78" s="78">
        <v>8906</v>
      </c>
      <c r="E78" s="79" t="s">
        <v>331</v>
      </c>
      <c r="F78" s="79" t="s">
        <v>332</v>
      </c>
      <c r="G78" s="79" t="s">
        <v>200</v>
      </c>
      <c r="H78" s="88">
        <v>2.5250000000000002E-2</v>
      </c>
      <c r="I78" s="79" t="s">
        <v>192</v>
      </c>
      <c r="J78" s="79" t="s">
        <v>201</v>
      </c>
      <c r="K78" s="79" t="s">
        <v>333</v>
      </c>
      <c r="L78" s="78">
        <v>4</v>
      </c>
      <c r="M78" s="89"/>
      <c r="N78" s="108"/>
      <c r="O78" s="90">
        <v>10.606217616580311</v>
      </c>
      <c r="P78" s="91">
        <v>0</v>
      </c>
      <c r="Q78" s="92">
        <v>20</v>
      </c>
    </row>
    <row r="79" spans="1:17" s="76" customFormat="1">
      <c r="A79" s="76" t="s">
        <v>334</v>
      </c>
      <c r="B79" s="76" t="s">
        <v>253</v>
      </c>
      <c r="D79" s="78">
        <v>8906</v>
      </c>
      <c r="E79" s="79" t="s">
        <v>335</v>
      </c>
      <c r="F79" s="79" t="s">
        <v>336</v>
      </c>
      <c r="G79" s="79" t="s">
        <v>200</v>
      </c>
      <c r="H79" s="88">
        <v>2.6250000000000002E-2</v>
      </c>
      <c r="I79" s="79" t="s">
        <v>192</v>
      </c>
      <c r="J79" s="79" t="s">
        <v>201</v>
      </c>
      <c r="K79" s="79" t="s">
        <v>337</v>
      </c>
      <c r="L79" s="78">
        <v>4</v>
      </c>
      <c r="M79" s="89"/>
      <c r="N79" s="108"/>
      <c r="O79" s="90">
        <v>10.388526727509779</v>
      </c>
      <c r="P79" s="91">
        <v>0</v>
      </c>
      <c r="Q79" s="92">
        <v>21</v>
      </c>
    </row>
    <row r="80" spans="1:17" s="76" customFormat="1">
      <c r="A80" s="76" t="s">
        <v>338</v>
      </c>
      <c r="B80" s="76" t="s">
        <v>297</v>
      </c>
      <c r="D80" s="78">
        <v>6042</v>
      </c>
      <c r="E80" s="79" t="s">
        <v>339</v>
      </c>
      <c r="F80" s="79" t="s">
        <v>340</v>
      </c>
      <c r="G80" s="79" t="s">
        <v>200</v>
      </c>
      <c r="H80" s="88">
        <v>2.7833333333333331E-2</v>
      </c>
      <c r="I80" s="79" t="s">
        <v>192</v>
      </c>
      <c r="J80" s="79" t="s">
        <v>201</v>
      </c>
      <c r="K80" s="79" t="s">
        <v>341</v>
      </c>
      <c r="L80" s="78">
        <v>6</v>
      </c>
      <c r="M80" s="89"/>
      <c r="N80" s="88">
        <v>2.7833333333333331E-2</v>
      </c>
      <c r="O80" s="90">
        <v>10.28537455410226</v>
      </c>
      <c r="P80" s="91">
        <v>0.28627625842251286</v>
      </c>
      <c r="Q80" s="92">
        <v>22</v>
      </c>
    </row>
    <row r="81" spans="1:17" s="76" customFormat="1">
      <c r="A81" s="76" t="s">
        <v>338</v>
      </c>
      <c r="B81" s="76" t="s">
        <v>297</v>
      </c>
      <c r="D81" s="78">
        <v>6042</v>
      </c>
      <c r="E81" s="79" t="s">
        <v>339</v>
      </c>
      <c r="F81" s="79" t="s">
        <v>340</v>
      </c>
      <c r="G81" s="79" t="s">
        <v>200</v>
      </c>
      <c r="H81" s="88">
        <v>2.9666666666666671E-2</v>
      </c>
      <c r="I81" s="79" t="s">
        <v>192</v>
      </c>
      <c r="J81" s="79" t="s">
        <v>201</v>
      </c>
      <c r="K81" s="79" t="s">
        <v>342</v>
      </c>
      <c r="L81" s="78">
        <v>6</v>
      </c>
      <c r="M81" s="89"/>
      <c r="N81" s="88">
        <v>2.9666666666666671E-2</v>
      </c>
      <c r="O81" s="90">
        <v>10.28537455410226</v>
      </c>
      <c r="P81" s="91">
        <v>0.30513277843836711</v>
      </c>
      <c r="Q81" s="92">
        <v>22</v>
      </c>
    </row>
    <row r="82" spans="1:17" s="76" customFormat="1">
      <c r="A82" s="76" t="s">
        <v>338</v>
      </c>
      <c r="B82" s="76" t="s">
        <v>297</v>
      </c>
      <c r="D82" s="78">
        <v>6042</v>
      </c>
      <c r="E82" s="79" t="s">
        <v>339</v>
      </c>
      <c r="F82" s="79" t="s">
        <v>340</v>
      </c>
      <c r="G82" s="79" t="s">
        <v>200</v>
      </c>
      <c r="H82" s="88">
        <v>3.3166666666666671E-2</v>
      </c>
      <c r="I82" s="79" t="s">
        <v>192</v>
      </c>
      <c r="J82" s="79" t="s">
        <v>201</v>
      </c>
      <c r="K82" s="79" t="s">
        <v>343</v>
      </c>
      <c r="L82" s="78">
        <v>6</v>
      </c>
      <c r="M82" s="89"/>
      <c r="N82" s="88">
        <v>3.3166666666666671E-2</v>
      </c>
      <c r="O82" s="90">
        <v>10.28537455410226</v>
      </c>
      <c r="P82" s="91">
        <v>0.34113158937772498</v>
      </c>
      <c r="Q82" s="92">
        <v>22</v>
      </c>
    </row>
    <row r="83" spans="1:17" s="76" customFormat="1">
      <c r="A83" s="76" t="s">
        <v>338</v>
      </c>
      <c r="B83" s="76" t="s">
        <v>297</v>
      </c>
      <c r="D83" s="78">
        <v>6042</v>
      </c>
      <c r="E83" s="79" t="s">
        <v>339</v>
      </c>
      <c r="F83" s="79" t="s">
        <v>340</v>
      </c>
      <c r="G83" s="79" t="s">
        <v>200</v>
      </c>
      <c r="H83" s="88">
        <v>3.5248872804288456E-2</v>
      </c>
      <c r="I83" s="79" t="s">
        <v>192</v>
      </c>
      <c r="J83" s="79" t="s">
        <v>217</v>
      </c>
      <c r="K83" s="79" t="s">
        <v>219</v>
      </c>
      <c r="L83" s="78">
        <v>6</v>
      </c>
      <c r="M83" s="109">
        <v>2291</v>
      </c>
      <c r="N83" s="88">
        <v>3.5248872804288456E-2</v>
      </c>
      <c r="O83" s="90">
        <v>10.28537455410226</v>
      </c>
      <c r="P83" s="91">
        <v>0.36254785940201567</v>
      </c>
      <c r="Q83" s="92">
        <v>22</v>
      </c>
    </row>
    <row r="84" spans="1:17" s="76" customFormat="1">
      <c r="A84" s="76" t="s">
        <v>338</v>
      </c>
      <c r="B84" s="76" t="s">
        <v>297</v>
      </c>
      <c r="D84" s="78">
        <v>6042</v>
      </c>
      <c r="E84" s="79" t="s">
        <v>339</v>
      </c>
      <c r="F84" s="79" t="s">
        <v>340</v>
      </c>
      <c r="G84" s="79" t="s">
        <v>200</v>
      </c>
      <c r="H84" s="88">
        <v>4.3166666666666666E-2</v>
      </c>
      <c r="I84" s="79" t="s">
        <v>192</v>
      </c>
      <c r="J84" s="79" t="s">
        <v>201</v>
      </c>
      <c r="K84" s="79" t="s">
        <v>344</v>
      </c>
      <c r="L84" s="78">
        <v>6</v>
      </c>
      <c r="M84" s="89"/>
      <c r="N84" s="88">
        <v>4.3166666666666666E-2</v>
      </c>
      <c r="O84" s="90">
        <v>10.28537455410226</v>
      </c>
      <c r="P84" s="91">
        <v>0.44398533491874753</v>
      </c>
      <c r="Q84" s="92">
        <v>22</v>
      </c>
    </row>
    <row r="85" spans="1:17" s="76" customFormat="1">
      <c r="A85" s="76" t="s">
        <v>338</v>
      </c>
      <c r="B85" s="76" t="s">
        <v>297</v>
      </c>
      <c r="D85" s="78">
        <v>6042</v>
      </c>
      <c r="E85" s="79" t="s">
        <v>339</v>
      </c>
      <c r="F85" s="79" t="s">
        <v>340</v>
      </c>
      <c r="G85" s="79" t="s">
        <v>200</v>
      </c>
      <c r="H85" s="88">
        <v>4.7833333333333339E-2</v>
      </c>
      <c r="I85" s="79" t="s">
        <v>192</v>
      </c>
      <c r="J85" s="79" t="s">
        <v>201</v>
      </c>
      <c r="K85" s="79" t="s">
        <v>345</v>
      </c>
      <c r="L85" s="78">
        <v>6</v>
      </c>
      <c r="M85" s="89"/>
      <c r="N85" s="88">
        <v>4.7833333333333339E-2</v>
      </c>
      <c r="O85" s="90">
        <v>10.28537455410226</v>
      </c>
      <c r="P85" s="91">
        <v>0.49198374950455814</v>
      </c>
      <c r="Q85" s="92">
        <v>22</v>
      </c>
    </row>
    <row r="86" spans="1:17" s="76" customFormat="1">
      <c r="A86" s="76" t="s">
        <v>346</v>
      </c>
      <c r="B86" s="76" t="s">
        <v>347</v>
      </c>
      <c r="D86" s="78">
        <v>2517</v>
      </c>
      <c r="E86" s="79" t="s">
        <v>348</v>
      </c>
      <c r="F86" s="79" t="s">
        <v>349</v>
      </c>
      <c r="G86" s="79" t="s">
        <v>200</v>
      </c>
      <c r="H86" s="88">
        <v>3.2074061720536964E-2</v>
      </c>
      <c r="I86" s="79" t="s">
        <v>192</v>
      </c>
      <c r="J86" s="79" t="s">
        <v>217</v>
      </c>
      <c r="K86" s="79" t="s">
        <v>219</v>
      </c>
      <c r="L86" s="78">
        <v>3</v>
      </c>
      <c r="M86" s="109">
        <v>1949</v>
      </c>
      <c r="N86" s="88">
        <v>3.2074061720536964E-2</v>
      </c>
      <c r="O86" s="90">
        <v>9.7368421052631575</v>
      </c>
      <c r="P86" s="91">
        <v>0.31230007464733361</v>
      </c>
      <c r="Q86" s="92">
        <v>23</v>
      </c>
    </row>
    <row r="87" spans="1:17" s="76" customFormat="1">
      <c r="A87" s="76" t="s">
        <v>350</v>
      </c>
      <c r="B87" s="76" t="s">
        <v>351</v>
      </c>
      <c r="D87" s="78">
        <v>2050</v>
      </c>
      <c r="E87" s="79" t="s">
        <v>352</v>
      </c>
      <c r="F87" s="79" t="s">
        <v>353</v>
      </c>
      <c r="G87" s="79" t="s">
        <v>200</v>
      </c>
      <c r="H87" s="88">
        <v>2.6462419961911645E-2</v>
      </c>
      <c r="I87" s="79" t="s">
        <v>192</v>
      </c>
      <c r="J87" s="79" t="s">
        <v>217</v>
      </c>
      <c r="K87" s="79" t="s">
        <v>219</v>
      </c>
      <c r="L87" s="78">
        <v>6</v>
      </c>
      <c r="M87" s="109">
        <v>1298</v>
      </c>
      <c r="N87" s="88">
        <v>2.6462419961911645E-2</v>
      </c>
      <c r="O87" s="90">
        <v>12.009803921568627</v>
      </c>
      <c r="P87" s="91">
        <v>0.31780847503276238</v>
      </c>
      <c r="Q87" s="92">
        <v>24</v>
      </c>
    </row>
    <row r="88" spans="1:17" s="76" customFormat="1">
      <c r="A88" s="76" t="s">
        <v>354</v>
      </c>
      <c r="B88" s="76" t="s">
        <v>288</v>
      </c>
      <c r="D88" s="78">
        <v>609</v>
      </c>
      <c r="E88" s="79" t="s">
        <v>355</v>
      </c>
      <c r="F88" s="79" t="s">
        <v>356</v>
      </c>
      <c r="G88" s="79" t="s">
        <v>200</v>
      </c>
      <c r="H88" s="88">
        <v>3.1666666666666669E-2</v>
      </c>
      <c r="I88" s="79" t="s">
        <v>192</v>
      </c>
      <c r="J88" s="79" t="s">
        <v>201</v>
      </c>
      <c r="K88" s="79" t="s">
        <v>357</v>
      </c>
      <c r="L88" s="78">
        <v>6</v>
      </c>
      <c r="M88" s="89"/>
      <c r="N88" s="88">
        <v>3.1666666666666669E-2</v>
      </c>
      <c r="O88" s="90">
        <v>10.666666666666666</v>
      </c>
      <c r="P88" s="91">
        <v>0.33777777777777779</v>
      </c>
      <c r="Q88" s="92">
        <v>25</v>
      </c>
    </row>
    <row r="89" spans="1:17" s="76" customFormat="1">
      <c r="A89" s="76" t="s">
        <v>354</v>
      </c>
      <c r="B89" s="76" t="s">
        <v>288</v>
      </c>
      <c r="D89" s="78">
        <v>609</v>
      </c>
      <c r="E89" s="79" t="s">
        <v>355</v>
      </c>
      <c r="F89" s="79" t="s">
        <v>356</v>
      </c>
      <c r="G89" s="79" t="s">
        <v>200</v>
      </c>
      <c r="H89" s="88">
        <v>3.85E-2</v>
      </c>
      <c r="I89" s="79" t="s">
        <v>192</v>
      </c>
      <c r="J89" s="79" t="s">
        <v>201</v>
      </c>
      <c r="K89" s="79" t="s">
        <v>358</v>
      </c>
      <c r="L89" s="78">
        <v>6</v>
      </c>
      <c r="M89" s="89"/>
      <c r="N89" s="88">
        <v>3.85E-2</v>
      </c>
      <c r="O89" s="90">
        <v>10.666666666666666</v>
      </c>
      <c r="P89" s="91">
        <v>0.41066666666666662</v>
      </c>
      <c r="Q89" s="92">
        <v>25</v>
      </c>
    </row>
    <row r="90" spans="1:17" s="76" customFormat="1">
      <c r="A90" s="76" t="s">
        <v>354</v>
      </c>
      <c r="B90" s="76" t="s">
        <v>288</v>
      </c>
      <c r="D90" s="78">
        <v>609</v>
      </c>
      <c r="E90" s="79" t="s">
        <v>355</v>
      </c>
      <c r="F90" s="79" t="s">
        <v>356</v>
      </c>
      <c r="G90" s="79" t="s">
        <v>200</v>
      </c>
      <c r="H90" s="88">
        <v>3.9833333333333332E-2</v>
      </c>
      <c r="I90" s="79" t="s">
        <v>192</v>
      </c>
      <c r="J90" s="79" t="s">
        <v>201</v>
      </c>
      <c r="K90" s="79" t="s">
        <v>359</v>
      </c>
      <c r="L90" s="78">
        <v>6</v>
      </c>
      <c r="M90" s="89"/>
      <c r="N90" s="88">
        <v>3.9833333333333332E-2</v>
      </c>
      <c r="O90" s="90">
        <v>10.666666666666666</v>
      </c>
      <c r="P90" s="91">
        <v>0.42488888888888887</v>
      </c>
      <c r="Q90" s="92">
        <v>25</v>
      </c>
    </row>
    <row r="91" spans="1:17" s="76" customFormat="1">
      <c r="A91" s="76" t="s">
        <v>354</v>
      </c>
      <c r="B91" s="76" t="s">
        <v>288</v>
      </c>
      <c r="D91" s="78">
        <v>609</v>
      </c>
      <c r="E91" s="79" t="s">
        <v>355</v>
      </c>
      <c r="F91" s="79" t="s">
        <v>356</v>
      </c>
      <c r="G91" s="79" t="s">
        <v>200</v>
      </c>
      <c r="H91" s="88">
        <v>3.9833333333333339E-2</v>
      </c>
      <c r="I91" s="79" t="s">
        <v>192</v>
      </c>
      <c r="J91" s="79" t="s">
        <v>201</v>
      </c>
      <c r="K91" s="79" t="s">
        <v>360</v>
      </c>
      <c r="L91" s="78">
        <v>6</v>
      </c>
      <c r="M91" s="89"/>
      <c r="N91" s="110">
        <v>3.9833333333333339E-2</v>
      </c>
      <c r="O91" s="90">
        <v>10.666666666666666</v>
      </c>
      <c r="P91" s="91">
        <v>0.42488888888888893</v>
      </c>
      <c r="Q91" s="92">
        <v>25</v>
      </c>
    </row>
    <row r="92" spans="1:17" s="76" customFormat="1">
      <c r="A92" s="76" t="s">
        <v>354</v>
      </c>
      <c r="B92" s="76" t="s">
        <v>288</v>
      </c>
      <c r="D92" s="78">
        <v>609</v>
      </c>
      <c r="E92" s="79" t="s">
        <v>355</v>
      </c>
      <c r="F92" s="79" t="s">
        <v>356</v>
      </c>
      <c r="G92" s="79" t="s">
        <v>200</v>
      </c>
      <c r="H92" s="88">
        <v>5.3666666666666668E-2</v>
      </c>
      <c r="I92" s="79" t="s">
        <v>192</v>
      </c>
      <c r="J92" s="79" t="s">
        <v>201</v>
      </c>
      <c r="K92" s="79" t="s">
        <v>361</v>
      </c>
      <c r="L92" s="78">
        <v>6</v>
      </c>
      <c r="M92" s="89"/>
      <c r="N92" s="110">
        <v>5.3666666666666668E-2</v>
      </c>
      <c r="O92" s="90">
        <v>10.666666666666666</v>
      </c>
      <c r="P92" s="91">
        <v>0.57244444444444442</v>
      </c>
      <c r="Q92" s="92">
        <v>25</v>
      </c>
    </row>
    <row r="93" spans="1:17" s="76" customFormat="1">
      <c r="A93" s="76" t="s">
        <v>362</v>
      </c>
      <c r="B93" s="76" t="s">
        <v>363</v>
      </c>
      <c r="D93" s="78">
        <v>8054</v>
      </c>
      <c r="E93" s="79" t="s">
        <v>352</v>
      </c>
      <c r="F93" s="79" t="s">
        <v>353</v>
      </c>
      <c r="G93" s="79" t="s">
        <v>200</v>
      </c>
      <c r="H93" s="88">
        <v>3.7950563866269112E-2</v>
      </c>
      <c r="I93" s="79" t="s">
        <v>192</v>
      </c>
      <c r="J93" s="79" t="s">
        <v>217</v>
      </c>
      <c r="K93" s="79" t="s">
        <v>219</v>
      </c>
      <c r="L93" s="78">
        <v>6</v>
      </c>
      <c r="M93" s="109">
        <v>1295</v>
      </c>
      <c r="N93" s="110">
        <v>3.7950563866269112E-2</v>
      </c>
      <c r="O93" s="90">
        <v>9.023066485753052</v>
      </c>
      <c r="P93" s="91">
        <v>0.34243046093716362</v>
      </c>
      <c r="Q93" s="92">
        <v>26</v>
      </c>
    </row>
    <row r="94" spans="1:17" s="76" customFormat="1">
      <c r="A94" s="76" t="s">
        <v>364</v>
      </c>
      <c r="B94" s="76" t="s">
        <v>365</v>
      </c>
      <c r="D94" s="78">
        <v>619</v>
      </c>
      <c r="E94" s="79" t="s">
        <v>366</v>
      </c>
      <c r="F94" s="79" t="s">
        <v>367</v>
      </c>
      <c r="G94" s="79" t="s">
        <v>200</v>
      </c>
      <c r="H94" s="88">
        <v>3.2500000000000001E-2</v>
      </c>
      <c r="I94" s="79" t="s">
        <v>192</v>
      </c>
      <c r="J94" s="79" t="s">
        <v>201</v>
      </c>
      <c r="K94" s="79" t="s">
        <v>368</v>
      </c>
      <c r="L94" s="78">
        <v>6</v>
      </c>
      <c r="M94" s="89"/>
      <c r="N94" s="88">
        <v>3.2500000000000001E-2</v>
      </c>
      <c r="O94" s="90">
        <v>11.280276816608996</v>
      </c>
      <c r="P94" s="91">
        <v>0.3666089965397924</v>
      </c>
      <c r="Q94" s="92">
        <v>27</v>
      </c>
    </row>
    <row r="95" spans="1:17" s="76" customFormat="1">
      <c r="A95" s="76" t="s">
        <v>364</v>
      </c>
      <c r="B95" s="76" t="s">
        <v>365</v>
      </c>
      <c r="D95" s="78">
        <v>619</v>
      </c>
      <c r="E95" s="79" t="s">
        <v>366</v>
      </c>
      <c r="F95" s="79" t="s">
        <v>367</v>
      </c>
      <c r="G95" s="79" t="s">
        <v>200</v>
      </c>
      <c r="H95" s="88">
        <v>3.9E-2</v>
      </c>
      <c r="I95" s="79" t="s">
        <v>192</v>
      </c>
      <c r="J95" s="79" t="s">
        <v>201</v>
      </c>
      <c r="K95" s="79" t="s">
        <v>369</v>
      </c>
      <c r="L95" s="78">
        <v>6</v>
      </c>
      <c r="M95" s="89"/>
      <c r="N95" s="88">
        <v>3.9E-2</v>
      </c>
      <c r="O95" s="90">
        <v>11.280276816608996</v>
      </c>
      <c r="P95" s="91">
        <v>0.43993079584775086</v>
      </c>
      <c r="Q95" s="92">
        <v>27</v>
      </c>
    </row>
    <row r="96" spans="1:17" s="76" customFormat="1">
      <c r="A96" s="76" t="s">
        <v>364</v>
      </c>
      <c r="B96" s="76" t="s">
        <v>365</v>
      </c>
      <c r="D96" s="78">
        <v>619</v>
      </c>
      <c r="E96" s="79" t="s">
        <v>366</v>
      </c>
      <c r="F96" s="79" t="s">
        <v>367</v>
      </c>
      <c r="G96" s="79" t="s">
        <v>200</v>
      </c>
      <c r="H96" s="88">
        <v>3.9166666666666669E-2</v>
      </c>
      <c r="I96" s="79" t="s">
        <v>192</v>
      </c>
      <c r="J96" s="79" t="s">
        <v>201</v>
      </c>
      <c r="K96" s="79" t="s">
        <v>370</v>
      </c>
      <c r="L96" s="78">
        <v>6</v>
      </c>
      <c r="M96" s="89"/>
      <c r="N96" s="88">
        <v>3.9166666666666669E-2</v>
      </c>
      <c r="O96" s="90">
        <v>11.280276816608996</v>
      </c>
      <c r="P96" s="91">
        <v>0.4418108419838524</v>
      </c>
      <c r="Q96" s="92">
        <v>27</v>
      </c>
    </row>
    <row r="97" spans="1:17" s="76" customFormat="1">
      <c r="A97" s="76" t="s">
        <v>364</v>
      </c>
      <c r="B97" s="76" t="s">
        <v>365</v>
      </c>
      <c r="D97" s="78">
        <v>619</v>
      </c>
      <c r="E97" s="79" t="s">
        <v>366</v>
      </c>
      <c r="F97" s="79" t="s">
        <v>367</v>
      </c>
      <c r="G97" s="79" t="s">
        <v>200</v>
      </c>
      <c r="H97" s="88">
        <v>4.5000000000000005E-2</v>
      </c>
      <c r="I97" s="79" t="s">
        <v>192</v>
      </c>
      <c r="J97" s="79" t="s">
        <v>201</v>
      </c>
      <c r="K97" s="79" t="s">
        <v>371</v>
      </c>
      <c r="L97" s="78">
        <v>6</v>
      </c>
      <c r="M97" s="108"/>
      <c r="N97" s="88">
        <v>4.5000000000000005E-2</v>
      </c>
      <c r="O97" s="90">
        <v>11.280276816608996</v>
      </c>
      <c r="P97" s="91">
        <v>0.50761245674740485</v>
      </c>
      <c r="Q97" s="92">
        <v>27</v>
      </c>
    </row>
    <row r="98" spans="1:17" s="76" customFormat="1">
      <c r="A98" s="76" t="s">
        <v>364</v>
      </c>
      <c r="B98" s="76" t="s">
        <v>365</v>
      </c>
      <c r="D98" s="78">
        <v>619</v>
      </c>
      <c r="E98" s="79" t="s">
        <v>366</v>
      </c>
      <c r="F98" s="79" t="s">
        <v>367</v>
      </c>
      <c r="G98" s="79" t="s">
        <v>200</v>
      </c>
      <c r="H98" s="88">
        <v>5.8833333333333328E-2</v>
      </c>
      <c r="I98" s="79" t="s">
        <v>192</v>
      </c>
      <c r="J98" s="79" t="s">
        <v>201</v>
      </c>
      <c r="K98" s="79" t="s">
        <v>372</v>
      </c>
      <c r="L98" s="78">
        <v>6</v>
      </c>
      <c r="M98" s="89"/>
      <c r="N98" s="88">
        <v>5.8833333333333328E-2</v>
      </c>
      <c r="O98" s="90">
        <v>11.280276816608996</v>
      </c>
      <c r="P98" s="91">
        <v>0.6636562860438292</v>
      </c>
      <c r="Q98" s="92">
        <v>27</v>
      </c>
    </row>
    <row r="99" spans="1:17" s="76" customFormat="1">
      <c r="A99" s="76" t="s">
        <v>373</v>
      </c>
      <c r="B99" s="76" t="s">
        <v>365</v>
      </c>
      <c r="D99" s="78">
        <v>619</v>
      </c>
      <c r="E99" s="79" t="s">
        <v>374</v>
      </c>
      <c r="F99" s="79" t="s">
        <v>375</v>
      </c>
      <c r="G99" s="79" t="s">
        <v>200</v>
      </c>
      <c r="H99" s="88">
        <v>3.4833333333333334E-2</v>
      </c>
      <c r="I99" s="79" t="s">
        <v>192</v>
      </c>
      <c r="J99" s="79" t="s">
        <v>201</v>
      </c>
      <c r="K99" s="79" t="s">
        <v>376</v>
      </c>
      <c r="L99" s="78">
        <v>6</v>
      </c>
      <c r="M99" s="89"/>
      <c r="N99" s="88">
        <v>3.4833333333333334E-2</v>
      </c>
      <c r="O99" s="90">
        <v>11.280276816608996</v>
      </c>
      <c r="P99" s="91">
        <v>0.39292964244521339</v>
      </c>
      <c r="Q99" s="92">
        <v>28</v>
      </c>
    </row>
    <row r="100" spans="1:17" s="76" customFormat="1">
      <c r="A100" s="76" t="s">
        <v>373</v>
      </c>
      <c r="B100" s="76" t="s">
        <v>365</v>
      </c>
      <c r="D100" s="78">
        <v>619</v>
      </c>
      <c r="E100" s="79" t="s">
        <v>374</v>
      </c>
      <c r="F100" s="79" t="s">
        <v>375</v>
      </c>
      <c r="G100" s="79" t="s">
        <v>200</v>
      </c>
      <c r="H100" s="88">
        <v>3.5500000000000004E-2</v>
      </c>
      <c r="I100" s="79" t="s">
        <v>192</v>
      </c>
      <c r="J100" s="79" t="s">
        <v>201</v>
      </c>
      <c r="K100" s="79" t="s">
        <v>377</v>
      </c>
      <c r="L100" s="78">
        <v>6</v>
      </c>
      <c r="M100" s="89"/>
      <c r="N100" s="88">
        <v>3.5500000000000004E-2</v>
      </c>
      <c r="O100" s="90">
        <v>11.280276816608996</v>
      </c>
      <c r="P100" s="91">
        <v>0.4004498269896194</v>
      </c>
      <c r="Q100" s="92">
        <v>28</v>
      </c>
    </row>
    <row r="101" spans="1:17" s="76" customFormat="1">
      <c r="A101" s="76" t="s">
        <v>373</v>
      </c>
      <c r="B101" s="76" t="s">
        <v>365</v>
      </c>
      <c r="D101" s="78">
        <v>619</v>
      </c>
      <c r="E101" s="79" t="s">
        <v>374</v>
      </c>
      <c r="F101" s="79" t="s">
        <v>375</v>
      </c>
      <c r="G101" s="79" t="s">
        <v>200</v>
      </c>
      <c r="H101" s="88">
        <v>4.1000000000000002E-2</v>
      </c>
      <c r="I101" s="79" t="s">
        <v>192</v>
      </c>
      <c r="J101" s="79" t="s">
        <v>201</v>
      </c>
      <c r="K101" s="79" t="s">
        <v>378</v>
      </c>
      <c r="L101" s="78">
        <v>6</v>
      </c>
      <c r="M101" s="89"/>
      <c r="N101" s="88">
        <v>4.1000000000000002E-2</v>
      </c>
      <c r="O101" s="90">
        <v>11.280276816608996</v>
      </c>
      <c r="P101" s="91">
        <v>0.46249134948096887</v>
      </c>
      <c r="Q101" s="92">
        <v>28</v>
      </c>
    </row>
    <row r="102" spans="1:17" s="76" customFormat="1">
      <c r="A102" s="76" t="s">
        <v>373</v>
      </c>
      <c r="B102" s="76" t="s">
        <v>365</v>
      </c>
      <c r="D102" s="78">
        <v>619</v>
      </c>
      <c r="E102" s="79" t="s">
        <v>374</v>
      </c>
      <c r="F102" s="79" t="s">
        <v>375</v>
      </c>
      <c r="G102" s="79" t="s">
        <v>200</v>
      </c>
      <c r="H102" s="88">
        <v>5.4333333333333338E-2</v>
      </c>
      <c r="I102" s="79" t="s">
        <v>192</v>
      </c>
      <c r="J102" s="79" t="s">
        <v>201</v>
      </c>
      <c r="K102" s="79" t="s">
        <v>379</v>
      </c>
      <c r="L102" s="78">
        <v>6</v>
      </c>
      <c r="M102" s="89"/>
      <c r="N102" s="88">
        <v>5.4333333333333338E-2</v>
      </c>
      <c r="O102" s="90">
        <v>11.280276816608996</v>
      </c>
      <c r="P102" s="91">
        <v>0.61289504036908882</v>
      </c>
      <c r="Q102" s="92">
        <v>28</v>
      </c>
    </row>
    <row r="103" spans="1:17" s="76" customFormat="1">
      <c r="A103" s="76" t="s">
        <v>373</v>
      </c>
      <c r="B103" s="76" t="s">
        <v>365</v>
      </c>
      <c r="D103" s="78">
        <v>619</v>
      </c>
      <c r="E103" s="79" t="s">
        <v>374</v>
      </c>
      <c r="F103" s="79" t="s">
        <v>375</v>
      </c>
      <c r="G103" s="79" t="s">
        <v>200</v>
      </c>
      <c r="H103" s="88">
        <v>5.7833333333333327E-2</v>
      </c>
      <c r="I103" s="79" t="s">
        <v>192</v>
      </c>
      <c r="J103" s="79" t="s">
        <v>201</v>
      </c>
      <c r="K103" s="79" t="s">
        <v>380</v>
      </c>
      <c r="L103" s="78">
        <v>6</v>
      </c>
      <c r="M103" s="89"/>
      <c r="N103" s="110">
        <v>5.7833333333333327E-2</v>
      </c>
      <c r="O103" s="90">
        <v>11.280276816608996</v>
      </c>
      <c r="P103" s="91">
        <v>0.65237600922722017</v>
      </c>
      <c r="Q103" s="92">
        <v>28</v>
      </c>
    </row>
    <row r="104" spans="1:17" s="76" customFormat="1">
      <c r="A104" s="76" t="s">
        <v>381</v>
      </c>
      <c r="B104" s="76" t="s">
        <v>382</v>
      </c>
      <c r="D104" s="78">
        <v>715</v>
      </c>
      <c r="E104" s="79" t="s">
        <v>352</v>
      </c>
      <c r="F104" s="79" t="s">
        <v>383</v>
      </c>
      <c r="G104" s="79" t="s">
        <v>200</v>
      </c>
      <c r="H104" s="88">
        <v>5.0922762810747944E-2</v>
      </c>
      <c r="I104" s="79" t="s">
        <v>192</v>
      </c>
      <c r="J104" s="79" t="s">
        <v>217</v>
      </c>
      <c r="K104" s="79" t="s">
        <v>219</v>
      </c>
      <c r="L104" s="78">
        <v>3</v>
      </c>
      <c r="M104" s="109">
        <v>2159</v>
      </c>
      <c r="N104" s="88">
        <v>5.0922762810747944E-2</v>
      </c>
      <c r="O104" s="90">
        <v>10</v>
      </c>
      <c r="P104" s="91">
        <v>0.50922762810747946</v>
      </c>
      <c r="Q104" s="92">
        <v>29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theme="3" tint="0.59999389629810485"/>
    <pageSetUpPr fitToPage="1"/>
  </sheetPr>
  <dimension ref="A1:O170"/>
  <sheetViews>
    <sheetView topLeftCell="A10" workbookViewId="0">
      <selection activeCell="B17" sqref="B17"/>
    </sheetView>
  </sheetViews>
  <sheetFormatPr defaultRowHeight="15"/>
  <cols>
    <col min="1" max="1" width="20.28515625" style="147" customWidth="1"/>
    <col min="2" max="2" width="27.7109375" style="147" customWidth="1"/>
    <col min="3" max="3" width="25.28515625" style="147" customWidth="1"/>
    <col min="4" max="4" width="20.28515625" style="147" customWidth="1"/>
    <col min="5" max="5" width="19" style="147" customWidth="1"/>
    <col min="6" max="6" width="22.7109375" style="147" customWidth="1"/>
    <col min="7" max="8" width="9.140625" style="147"/>
    <col min="9" max="9" width="11" style="147" bestFit="1" customWidth="1"/>
    <col min="10" max="16384" width="9.140625" style="147"/>
  </cols>
  <sheetData>
    <row r="1" spans="1:15" s="396" customFormat="1" ht="12.75">
      <c r="A1" s="395"/>
      <c r="B1" s="497" t="s">
        <v>24</v>
      </c>
      <c r="C1" s="498"/>
      <c r="D1" s="498"/>
      <c r="E1" s="498"/>
      <c r="F1" s="499"/>
      <c r="G1" s="499"/>
      <c r="H1" s="499"/>
      <c r="I1" s="499"/>
      <c r="J1" s="499"/>
      <c r="K1" s="499"/>
      <c r="L1" s="499"/>
    </row>
    <row r="2" spans="1:15" s="396" customFormat="1" ht="38.25">
      <c r="A2" s="397" t="s">
        <v>0</v>
      </c>
      <c r="B2" s="2" t="s">
        <v>178</v>
      </c>
      <c r="C2" s="398"/>
      <c r="D2" s="398"/>
      <c r="E2" s="398"/>
      <c r="F2" s="398"/>
      <c r="G2" s="398"/>
      <c r="H2" s="398"/>
      <c r="I2" s="399"/>
      <c r="J2" s="399"/>
      <c r="K2" s="398"/>
      <c r="L2" s="400"/>
      <c r="O2" s="401"/>
    </row>
    <row r="3" spans="1:15" s="407" customFormat="1" ht="12.75">
      <c r="A3" s="17">
        <v>1</v>
      </c>
      <c r="B3" s="361">
        <v>1.350210970464135E-2</v>
      </c>
      <c r="C3" s="402"/>
      <c r="D3" s="403"/>
      <c r="E3" s="403"/>
      <c r="F3" s="403"/>
      <c r="G3" s="403"/>
      <c r="H3" s="403"/>
      <c r="I3" s="404"/>
      <c r="J3" s="404"/>
      <c r="K3" s="405"/>
      <c r="L3" s="406"/>
      <c r="O3" s="408"/>
    </row>
    <row r="4" spans="1:15" s="407" customFormat="1" ht="12.75">
      <c r="A4" s="18">
        <v>2</v>
      </c>
      <c r="B4" s="362">
        <v>2.2888757147700424E-2</v>
      </c>
      <c r="C4" s="402"/>
      <c r="D4" s="403"/>
      <c r="E4" s="403"/>
      <c r="F4" s="403"/>
      <c r="G4" s="403"/>
      <c r="H4" s="403"/>
      <c r="I4" s="404"/>
      <c r="J4" s="404"/>
      <c r="K4" s="404"/>
      <c r="L4" s="406"/>
    </row>
    <row r="5" spans="1:15" s="407" customFormat="1" ht="12.75">
      <c r="A5" s="18">
        <v>3</v>
      </c>
      <c r="B5" s="362">
        <v>7.5949367088607597E-2</v>
      </c>
      <c r="C5" s="402"/>
      <c r="D5" s="403"/>
      <c r="E5" s="403"/>
      <c r="F5" s="403"/>
      <c r="G5" s="403"/>
      <c r="H5" s="403"/>
      <c r="I5" s="404"/>
      <c r="J5" s="404"/>
      <c r="K5" s="404"/>
      <c r="L5" s="406"/>
    </row>
    <row r="6" spans="1:15" s="407" customFormat="1" ht="12.75">
      <c r="A6" s="18">
        <v>4</v>
      </c>
      <c r="B6" s="362">
        <v>0.10801687763713079</v>
      </c>
      <c r="C6" s="409"/>
      <c r="D6" s="403"/>
      <c r="E6" s="403"/>
      <c r="F6" s="403"/>
      <c r="G6" s="403"/>
      <c r="H6" s="410"/>
      <c r="I6" s="410"/>
      <c r="J6" s="410"/>
      <c r="K6" s="410"/>
      <c r="L6" s="406"/>
    </row>
    <row r="7" spans="1:15" s="407" customFormat="1" ht="12.75">
      <c r="A7" s="18">
        <v>5</v>
      </c>
      <c r="B7" s="411"/>
      <c r="C7" s="412"/>
      <c r="D7" s="413"/>
      <c r="E7" s="413"/>
      <c r="F7" s="413"/>
      <c r="G7" s="413"/>
      <c r="H7" s="413"/>
      <c r="I7" s="413"/>
      <c r="J7" s="413"/>
      <c r="K7" s="413"/>
      <c r="L7" s="414"/>
    </row>
    <row r="8" spans="1:15" s="407" customFormat="1" ht="12.75">
      <c r="A8" s="18">
        <v>6</v>
      </c>
      <c r="B8" s="19"/>
      <c r="C8" s="19"/>
      <c r="D8" s="20"/>
      <c r="E8" s="20"/>
      <c r="F8" s="20"/>
      <c r="G8" s="20"/>
      <c r="H8" s="20"/>
      <c r="I8" s="20"/>
      <c r="J8" s="20"/>
      <c r="K8" s="20"/>
      <c r="L8" s="415"/>
    </row>
    <row r="9" spans="1:15" s="407" customFormat="1" ht="12.75">
      <c r="A9" s="18">
        <v>7</v>
      </c>
      <c r="B9" s="19"/>
      <c r="C9" s="19"/>
      <c r="D9" s="20"/>
      <c r="E9" s="20"/>
      <c r="F9" s="20"/>
      <c r="G9" s="20"/>
      <c r="H9" s="20"/>
      <c r="I9" s="20"/>
      <c r="J9" s="20"/>
      <c r="K9" s="20"/>
      <c r="L9" s="415"/>
    </row>
    <row r="10" spans="1:15" s="407" customFormat="1" ht="12.75">
      <c r="A10" s="18">
        <v>8</v>
      </c>
      <c r="B10" s="19"/>
      <c r="C10" s="19"/>
      <c r="D10" s="20"/>
      <c r="E10" s="20"/>
      <c r="F10" s="20"/>
      <c r="G10" s="20"/>
      <c r="H10" s="20"/>
      <c r="I10" s="20"/>
      <c r="J10" s="20"/>
      <c r="K10" s="20"/>
      <c r="L10" s="415"/>
    </row>
    <row r="11" spans="1:15" s="407" customFormat="1" ht="12.75">
      <c r="A11" s="18">
        <v>9</v>
      </c>
      <c r="B11" s="416"/>
      <c r="C11" s="19"/>
      <c r="D11" s="19"/>
      <c r="E11" s="19"/>
      <c r="F11" s="19"/>
      <c r="G11" s="19"/>
      <c r="H11" s="19"/>
      <c r="I11" s="19"/>
      <c r="J11" s="19"/>
      <c r="K11" s="19"/>
      <c r="L11" s="21"/>
    </row>
    <row r="12" spans="1:15" s="407" customFormat="1" ht="12.75">
      <c r="A12" s="18">
        <v>10</v>
      </c>
      <c r="B12" s="19"/>
      <c r="C12" s="19"/>
      <c r="D12" s="19"/>
      <c r="E12" s="19"/>
      <c r="F12" s="19"/>
      <c r="G12" s="19"/>
      <c r="H12" s="19"/>
      <c r="I12" s="19"/>
      <c r="J12" s="19"/>
      <c r="K12" s="19"/>
      <c r="L12" s="21"/>
    </row>
    <row r="13" spans="1:15" s="407" customFormat="1" ht="12.75">
      <c r="A13" s="18">
        <v>11</v>
      </c>
      <c r="B13" s="19"/>
      <c r="C13" s="19"/>
      <c r="D13" s="19"/>
      <c r="E13" s="19"/>
      <c r="F13" s="19"/>
      <c r="G13" s="19"/>
      <c r="H13" s="19"/>
      <c r="I13" s="19"/>
      <c r="J13" s="19"/>
      <c r="K13" s="19"/>
      <c r="L13" s="21"/>
    </row>
    <row r="14" spans="1:15" s="407" customFormat="1" ht="12.75">
      <c r="A14" s="18">
        <v>12</v>
      </c>
      <c r="B14" s="19"/>
      <c r="C14" s="19"/>
      <c r="D14" s="19"/>
      <c r="E14" s="19"/>
      <c r="F14" s="19"/>
      <c r="G14" s="19"/>
      <c r="H14" s="19"/>
      <c r="I14" s="19"/>
      <c r="J14" s="19"/>
      <c r="K14" s="19"/>
      <c r="L14" s="21"/>
    </row>
    <row r="15" spans="1:15" s="407" customFormat="1" ht="12.75">
      <c r="A15" s="18">
        <v>13</v>
      </c>
      <c r="B15" s="19"/>
      <c r="C15" s="19"/>
      <c r="D15" s="19"/>
      <c r="E15" s="19"/>
      <c r="F15" s="19"/>
      <c r="G15" s="19"/>
      <c r="H15" s="19"/>
      <c r="I15" s="19"/>
      <c r="J15" s="19"/>
      <c r="K15" s="19"/>
      <c r="L15" s="21"/>
    </row>
    <row r="16" spans="1:15" s="407" customFormat="1" ht="12.75">
      <c r="A16" s="18">
        <v>14</v>
      </c>
      <c r="B16" s="19"/>
      <c r="C16" s="19"/>
      <c r="D16" s="19"/>
      <c r="E16" s="19"/>
      <c r="F16" s="19"/>
      <c r="G16" s="19"/>
      <c r="H16" s="19"/>
      <c r="I16" s="19"/>
      <c r="J16" s="19"/>
      <c r="K16" s="19"/>
      <c r="L16" s="21"/>
    </row>
    <row r="17" spans="1:12" s="407" customFormat="1" ht="12.75">
      <c r="A17" s="18">
        <v>15</v>
      </c>
      <c r="B17" s="19"/>
      <c r="C17" s="19"/>
      <c r="D17" s="19"/>
      <c r="E17" s="19"/>
      <c r="F17" s="19"/>
      <c r="G17" s="19"/>
      <c r="H17" s="19"/>
      <c r="I17" s="19"/>
      <c r="J17" s="19"/>
      <c r="K17" s="19"/>
      <c r="L17" s="21"/>
    </row>
    <row r="18" spans="1:12" s="407" customFormat="1" ht="12.75">
      <c r="A18" s="18">
        <v>16</v>
      </c>
      <c r="B18" s="19"/>
      <c r="C18" s="19"/>
      <c r="D18" s="19"/>
      <c r="E18" s="19"/>
      <c r="F18" s="19"/>
      <c r="G18" s="19"/>
      <c r="H18" s="19"/>
      <c r="I18" s="19"/>
      <c r="J18" s="19"/>
      <c r="K18" s="19"/>
      <c r="L18" s="21"/>
    </row>
    <row r="19" spans="1:12" s="407" customFormat="1" ht="12.75">
      <c r="A19" s="18">
        <v>17</v>
      </c>
      <c r="B19" s="19"/>
      <c r="C19" s="19"/>
      <c r="D19" s="19"/>
      <c r="E19" s="19"/>
      <c r="F19" s="19"/>
      <c r="G19" s="19"/>
      <c r="H19" s="19"/>
      <c r="I19" s="19"/>
      <c r="J19" s="19"/>
      <c r="K19" s="19"/>
      <c r="L19" s="21"/>
    </row>
    <row r="20" spans="1:12" s="407" customFormat="1" ht="12.75">
      <c r="A20" s="18">
        <v>18</v>
      </c>
      <c r="B20" s="19"/>
      <c r="C20" s="19"/>
      <c r="D20" s="19"/>
      <c r="E20" s="19"/>
      <c r="F20" s="19"/>
      <c r="G20" s="19"/>
      <c r="H20" s="19"/>
      <c r="I20" s="19"/>
      <c r="J20" s="19"/>
      <c r="K20" s="19"/>
      <c r="L20" s="21"/>
    </row>
    <row r="21" spans="1:12" s="407" customFormat="1" ht="12.75">
      <c r="A21" s="18">
        <v>19</v>
      </c>
      <c r="B21" s="19"/>
      <c r="C21" s="19"/>
      <c r="D21" s="19"/>
      <c r="E21" s="19"/>
      <c r="F21" s="19"/>
      <c r="G21" s="19"/>
      <c r="H21" s="19"/>
      <c r="I21" s="19"/>
      <c r="J21" s="19"/>
      <c r="K21" s="19"/>
      <c r="L21" s="21"/>
    </row>
    <row r="22" spans="1:12" s="407" customFormat="1" ht="12.75">
      <c r="A22" s="18">
        <v>20</v>
      </c>
      <c r="B22" s="19"/>
      <c r="C22" s="19"/>
      <c r="D22" s="19"/>
      <c r="E22" s="19"/>
      <c r="F22" s="19"/>
      <c r="G22" s="19"/>
      <c r="H22" s="19"/>
      <c r="I22" s="19"/>
      <c r="J22" s="19"/>
      <c r="K22" s="19"/>
      <c r="L22" s="21"/>
    </row>
    <row r="23" spans="1:12" s="407" customFormat="1" ht="12.75">
      <c r="A23" s="18">
        <v>21</v>
      </c>
      <c r="B23" s="19"/>
      <c r="C23" s="19"/>
      <c r="D23" s="19"/>
      <c r="E23" s="19"/>
      <c r="F23" s="19"/>
      <c r="G23" s="19"/>
      <c r="H23" s="19"/>
      <c r="I23" s="19"/>
      <c r="J23" s="19"/>
      <c r="K23" s="19"/>
      <c r="L23" s="21"/>
    </row>
    <row r="24" spans="1:12" s="407" customFormat="1" ht="12.75">
      <c r="A24" s="18">
        <v>22</v>
      </c>
      <c r="B24" s="19"/>
      <c r="C24" s="19"/>
      <c r="D24" s="19"/>
      <c r="E24" s="19"/>
      <c r="F24" s="19"/>
      <c r="G24" s="19"/>
      <c r="H24" s="19"/>
      <c r="I24" s="19"/>
      <c r="J24" s="19"/>
      <c r="K24" s="19"/>
      <c r="L24" s="21"/>
    </row>
    <row r="25" spans="1:12" s="407" customFormat="1" ht="12.75">
      <c r="A25" s="18">
        <v>23</v>
      </c>
      <c r="B25" s="19"/>
      <c r="C25" s="19"/>
      <c r="D25" s="19"/>
      <c r="E25" s="19"/>
      <c r="F25" s="19"/>
      <c r="G25" s="19"/>
      <c r="H25" s="19"/>
      <c r="I25" s="19"/>
      <c r="J25" s="19"/>
      <c r="K25" s="19"/>
      <c r="L25" s="21"/>
    </row>
    <row r="26" spans="1:12" s="407" customFormat="1" ht="12.75">
      <c r="A26" s="18">
        <v>24</v>
      </c>
      <c r="B26" s="19"/>
      <c r="C26" s="19"/>
      <c r="D26" s="19"/>
      <c r="E26" s="19"/>
      <c r="F26" s="19"/>
      <c r="G26" s="19"/>
      <c r="H26" s="19"/>
      <c r="I26" s="19"/>
      <c r="J26" s="19"/>
      <c r="K26" s="19"/>
      <c r="L26" s="21"/>
    </row>
    <row r="27" spans="1:12" s="407" customFormat="1" ht="12.75">
      <c r="A27" s="18">
        <v>25</v>
      </c>
      <c r="B27" s="19"/>
      <c r="C27" s="19"/>
      <c r="D27" s="19"/>
      <c r="E27" s="19"/>
      <c r="F27" s="19"/>
      <c r="G27" s="19"/>
      <c r="H27" s="19"/>
      <c r="I27" s="19"/>
      <c r="J27" s="19"/>
      <c r="K27" s="19"/>
      <c r="L27" s="21"/>
    </row>
    <row r="28" spans="1:12" s="407" customFormat="1" ht="12.75">
      <c r="A28" s="18">
        <v>26</v>
      </c>
      <c r="B28" s="19"/>
      <c r="C28" s="19"/>
      <c r="D28" s="19"/>
      <c r="E28" s="19"/>
      <c r="F28" s="19"/>
      <c r="G28" s="19"/>
      <c r="H28" s="19"/>
      <c r="I28" s="19"/>
      <c r="J28" s="19"/>
      <c r="K28" s="19"/>
      <c r="L28" s="21"/>
    </row>
    <row r="29" spans="1:12" s="407" customFormat="1" ht="12.75">
      <c r="A29" s="18">
        <v>27</v>
      </c>
      <c r="B29" s="19"/>
      <c r="C29" s="19"/>
      <c r="D29" s="19"/>
      <c r="E29" s="19"/>
      <c r="F29" s="19"/>
      <c r="G29" s="19"/>
      <c r="H29" s="19"/>
      <c r="I29" s="19"/>
      <c r="J29" s="19"/>
      <c r="K29" s="19"/>
      <c r="L29" s="21"/>
    </row>
    <row r="30" spans="1:12" s="407" customFormat="1" ht="12.75">
      <c r="A30" s="18">
        <v>28</v>
      </c>
      <c r="B30" s="19"/>
      <c r="C30" s="19"/>
      <c r="D30" s="19"/>
      <c r="E30" s="19"/>
      <c r="F30" s="19"/>
      <c r="G30" s="19"/>
      <c r="H30" s="19"/>
      <c r="I30" s="19"/>
      <c r="J30" s="19"/>
      <c r="K30" s="19"/>
      <c r="L30" s="21"/>
    </row>
    <row r="31" spans="1:12" s="407" customFormat="1" ht="12.75">
      <c r="A31" s="18">
        <v>29</v>
      </c>
      <c r="B31" s="19"/>
      <c r="C31" s="19"/>
      <c r="D31" s="19"/>
      <c r="E31" s="19"/>
      <c r="F31" s="19"/>
      <c r="G31" s="19"/>
      <c r="H31" s="19"/>
      <c r="I31" s="19"/>
      <c r="J31" s="19"/>
      <c r="K31" s="19"/>
      <c r="L31" s="22"/>
    </row>
    <row r="32" spans="1:12" s="407" customFormat="1" ht="12.75">
      <c r="A32" s="18">
        <v>30</v>
      </c>
      <c r="B32" s="19"/>
      <c r="C32" s="19"/>
      <c r="D32" s="19"/>
      <c r="E32" s="19"/>
      <c r="F32" s="19"/>
      <c r="G32" s="19"/>
      <c r="H32" s="19"/>
      <c r="I32" s="19"/>
      <c r="J32" s="19"/>
      <c r="K32" s="19"/>
      <c r="L32" s="22"/>
    </row>
    <row r="33" spans="1:12" s="407" customFormat="1" ht="12.75">
      <c r="A33" s="18">
        <v>31</v>
      </c>
      <c r="B33" s="19"/>
      <c r="C33" s="19"/>
      <c r="D33" s="19"/>
      <c r="E33" s="19"/>
      <c r="F33" s="19"/>
      <c r="G33" s="19"/>
      <c r="H33" s="19"/>
      <c r="I33" s="19"/>
      <c r="J33" s="19"/>
      <c r="K33" s="19"/>
      <c r="L33" s="22"/>
    </row>
    <row r="34" spans="1:12" s="407" customFormat="1" ht="12.75">
      <c r="A34" s="18">
        <v>32</v>
      </c>
      <c r="B34" s="19"/>
      <c r="C34" s="19"/>
      <c r="D34" s="19"/>
      <c r="E34" s="19"/>
      <c r="F34" s="19"/>
      <c r="G34" s="19"/>
      <c r="H34" s="19"/>
      <c r="I34" s="19"/>
      <c r="J34" s="19"/>
      <c r="K34" s="19"/>
      <c r="L34" s="22"/>
    </row>
    <row r="35" spans="1:12" s="407" customFormat="1" ht="12.75">
      <c r="A35" s="18">
        <v>33</v>
      </c>
      <c r="B35" s="20"/>
      <c r="C35" s="20"/>
      <c r="D35" s="20"/>
      <c r="E35" s="20"/>
      <c r="F35" s="20"/>
      <c r="G35" s="20"/>
      <c r="H35" s="20"/>
      <c r="I35" s="20"/>
      <c r="J35" s="20"/>
      <c r="K35" s="19"/>
      <c r="L35" s="22"/>
    </row>
    <row r="36" spans="1:12" s="407" customFormat="1" ht="12.75">
      <c r="A36" s="18">
        <v>34</v>
      </c>
      <c r="B36" s="20"/>
      <c r="C36" s="20"/>
      <c r="D36" s="20"/>
      <c r="E36" s="20"/>
      <c r="F36" s="20"/>
      <c r="G36" s="20"/>
      <c r="H36" s="20"/>
      <c r="I36" s="20"/>
      <c r="J36" s="20"/>
      <c r="K36" s="19"/>
      <c r="L36" s="22"/>
    </row>
    <row r="37" spans="1:12" s="407" customFormat="1" ht="12.75">
      <c r="A37" s="18">
        <v>35</v>
      </c>
      <c r="B37" s="23"/>
      <c r="C37" s="23"/>
      <c r="D37" s="23"/>
      <c r="E37" s="23"/>
      <c r="F37" s="23"/>
      <c r="G37" s="23"/>
      <c r="H37" s="23"/>
      <c r="I37" s="23"/>
      <c r="J37" s="23"/>
      <c r="K37" s="24"/>
      <c r="L37" s="25"/>
    </row>
    <row r="38" spans="1:12" s="419" customFormat="1">
      <c r="A38" s="494" t="s">
        <v>906</v>
      </c>
      <c r="B38" s="495"/>
      <c r="C38" s="495"/>
      <c r="D38" s="495"/>
      <c r="E38" s="417"/>
      <c r="F38" s="417"/>
      <c r="G38" s="417"/>
      <c r="H38" s="417"/>
      <c r="I38" s="417"/>
      <c r="J38" s="417"/>
      <c r="K38" s="418"/>
      <c r="L38" s="418"/>
    </row>
    <row r="39" spans="1:12" s="419" customFormat="1" ht="12.75">
      <c r="A39" s="420"/>
      <c r="B39" s="417"/>
      <c r="C39" s="417"/>
      <c r="D39" s="417"/>
      <c r="E39" s="417"/>
      <c r="F39" s="417"/>
      <c r="G39" s="417"/>
      <c r="H39" s="417"/>
      <c r="I39" s="417"/>
      <c r="J39" s="417"/>
      <c r="K39" s="418"/>
      <c r="L39" s="418"/>
    </row>
    <row r="40" spans="1:12" s="419" customFormat="1" ht="12.75">
      <c r="A40" s="26" t="s">
        <v>1</v>
      </c>
      <c r="B40" s="27" t="s">
        <v>2</v>
      </c>
      <c r="C40" s="27" t="s">
        <v>907</v>
      </c>
      <c r="D40" s="417"/>
      <c r="E40" s="417"/>
      <c r="F40" s="417"/>
      <c r="G40" s="417"/>
      <c r="H40" s="417"/>
      <c r="I40" s="417"/>
      <c r="J40" s="417"/>
      <c r="K40" s="418"/>
      <c r="L40" s="418"/>
    </row>
    <row r="41" spans="1:12" s="419" customFormat="1" ht="12.75">
      <c r="A41" s="26" t="s">
        <v>3</v>
      </c>
      <c r="B41" s="28">
        <f>COUNT(B3:L37)</f>
        <v>4</v>
      </c>
      <c r="C41" s="28">
        <f>COUNT(B51:L85)</f>
        <v>4</v>
      </c>
      <c r="D41" s="417"/>
      <c r="E41" s="417"/>
      <c r="F41" s="417"/>
      <c r="G41" s="417"/>
      <c r="H41" s="417"/>
      <c r="I41" s="417"/>
      <c r="J41" s="417"/>
      <c r="K41" s="418"/>
      <c r="L41" s="418"/>
    </row>
    <row r="42" spans="1:12" s="419" customFormat="1" ht="12.75">
      <c r="A42" s="26" t="s">
        <v>4</v>
      </c>
      <c r="B42" s="28">
        <f>KURT(B3:L37)</f>
        <v>-3.423662562692245</v>
      </c>
      <c r="C42" s="28">
        <f>KURT(B51:L85)</f>
        <v>-4.0498336938248567</v>
      </c>
      <c r="D42" s="417"/>
      <c r="E42" s="417"/>
      <c r="F42" s="417"/>
      <c r="G42" s="417"/>
      <c r="H42" s="417"/>
      <c r="I42" s="417"/>
      <c r="J42" s="417"/>
      <c r="K42" s="418"/>
      <c r="L42" s="418"/>
    </row>
    <row r="43" spans="1:12" s="419" customFormat="1" ht="12.75">
      <c r="A43" s="26" t="s">
        <v>5</v>
      </c>
      <c r="B43" s="28">
        <f>SQRT((B41^2-1)/((B41-3)*(B41+5)))</f>
        <v>1.2909944487358056</v>
      </c>
      <c r="C43" s="28">
        <f>SQRT((C41^2-1)/((C41-3)*(C41+5)))</f>
        <v>1.2909944487358056</v>
      </c>
      <c r="D43" s="417"/>
      <c r="E43" s="417" t="s">
        <v>908</v>
      </c>
      <c r="F43" s="417">
        <f>AVERAGE(B3:L37)</f>
        <v>5.508927789452004E-2</v>
      </c>
      <c r="G43" s="417"/>
      <c r="H43" s="417"/>
      <c r="I43" s="417"/>
      <c r="J43" s="417"/>
      <c r="K43" s="418"/>
      <c r="L43" s="418"/>
    </row>
    <row r="44" spans="1:12" s="419" customFormat="1" ht="12.75">
      <c r="A44" s="26" t="s">
        <v>6</v>
      </c>
      <c r="B44" s="28" t="str">
        <f>IF(ABS(B42/B43)&gt;NORMSINV(1-0.05/2),"non normal","normal")</f>
        <v>non normal</v>
      </c>
      <c r="C44" s="28" t="str">
        <f>IF(ABS(C42/C43)&gt;NORMSINV(1-0.05/2),"non normal","normal")</f>
        <v>non normal</v>
      </c>
      <c r="D44" s="417"/>
      <c r="E44" s="417"/>
      <c r="F44" s="417"/>
      <c r="G44" s="417"/>
      <c r="H44" s="417"/>
      <c r="I44" s="417"/>
      <c r="J44" s="417"/>
      <c r="K44" s="418"/>
      <c r="L44" s="418"/>
    </row>
    <row r="45" spans="1:12" s="419" customFormat="1" ht="12.75">
      <c r="A45" s="26" t="s">
        <v>7</v>
      </c>
      <c r="B45" s="28">
        <f>SKEW(B3:L37)</f>
        <v>0.38755049291912408</v>
      </c>
      <c r="C45" s="28">
        <f>SKEW(B51:L85)</f>
        <v>-0.13402270237014427</v>
      </c>
      <c r="D45" s="417"/>
      <c r="E45" s="417"/>
      <c r="F45" s="417"/>
      <c r="G45" s="417"/>
      <c r="H45" s="417"/>
      <c r="I45" s="417"/>
      <c r="J45" s="417"/>
      <c r="K45" s="418"/>
      <c r="L45" s="418"/>
    </row>
    <row r="46" spans="1:12" s="419" customFormat="1" ht="12.75">
      <c r="A46" s="26" t="s">
        <v>8</v>
      </c>
      <c r="B46" s="28">
        <f>SQRT((6*B41*(B41-1))/((B41-2)*(B41+1)*(B41+3)))</f>
        <v>1.0141851056742199</v>
      </c>
      <c r="C46" s="28">
        <f>SQRT((6*C41*(C41-1))/((C41-2)*(C41+1)*(C41+3)))</f>
        <v>1.0141851056742199</v>
      </c>
      <c r="D46" s="417"/>
      <c r="E46" s="417"/>
      <c r="F46" s="417"/>
      <c r="G46" s="417"/>
      <c r="H46" s="417"/>
      <c r="I46" s="417"/>
      <c r="J46" s="417"/>
      <c r="K46" s="418"/>
      <c r="L46" s="418"/>
    </row>
    <row r="47" spans="1:12" s="419" customFormat="1">
      <c r="A47" s="26" t="s">
        <v>9</v>
      </c>
      <c r="B47" s="28" t="str">
        <f>IF(ABS(B45/B46)&gt;NORMSINV(1-0.05/2),"non normal","normal")</f>
        <v>normal</v>
      </c>
      <c r="C47" s="28" t="str">
        <f>IF(ABS(C45/C46)&gt;NORMSINV(1-0.05/2),"non normal","normal")</f>
        <v>normal</v>
      </c>
      <c r="D47" s="421"/>
      <c r="E47" s="421"/>
      <c r="F47" s="417"/>
      <c r="G47" s="417"/>
      <c r="H47" s="417"/>
      <c r="I47" s="417"/>
      <c r="J47" s="417"/>
      <c r="K47" s="418"/>
      <c r="L47" s="418"/>
    </row>
    <row r="48" spans="1:12" s="419" customFormat="1">
      <c r="A48" s="420"/>
      <c r="B48" s="422"/>
      <c r="C48" s="422"/>
      <c r="D48" s="421"/>
      <c r="E48" s="421"/>
      <c r="F48" s="417"/>
      <c r="G48" s="417"/>
      <c r="H48" s="417"/>
      <c r="I48" s="417"/>
      <c r="J48" s="417"/>
      <c r="K48" s="418"/>
      <c r="L48" s="418"/>
    </row>
    <row r="49" spans="1:12">
      <c r="A49" s="423"/>
      <c r="B49" s="500" t="s">
        <v>909</v>
      </c>
      <c r="C49" s="500"/>
      <c r="D49" s="500"/>
      <c r="E49" s="500"/>
      <c r="F49" s="500"/>
      <c r="G49" s="500"/>
      <c r="H49" s="500"/>
      <c r="I49" s="500"/>
      <c r="J49" s="500"/>
      <c r="K49" s="500"/>
      <c r="L49" s="500"/>
    </row>
    <row r="50" spans="1:12">
      <c r="A50" s="424" t="s">
        <v>0</v>
      </c>
      <c r="B50" s="425"/>
      <c r="C50" s="426"/>
      <c r="D50" s="426"/>
      <c r="E50" s="427"/>
      <c r="F50" s="427"/>
      <c r="G50" s="428"/>
      <c r="H50" s="428"/>
      <c r="I50" s="428"/>
      <c r="J50" s="428"/>
      <c r="K50" s="428"/>
      <c r="L50" s="428"/>
    </row>
    <row r="51" spans="1:12">
      <c r="A51" s="429">
        <v>1</v>
      </c>
      <c r="B51" s="430">
        <f>IF(B3&gt;0,LN(B3),"")</f>
        <v>-4.3049093313294504</v>
      </c>
      <c r="C51" s="430" t="str">
        <f t="shared" ref="C51:L51" si="0">IF(C3&gt;0,LN(C3),"")</f>
        <v/>
      </c>
      <c r="D51" s="430" t="str">
        <f t="shared" si="0"/>
        <v/>
      </c>
      <c r="E51" s="430" t="str">
        <f t="shared" si="0"/>
        <v/>
      </c>
      <c r="F51" s="430" t="str">
        <f t="shared" si="0"/>
        <v/>
      </c>
      <c r="G51" s="430" t="str">
        <f t="shared" si="0"/>
        <v/>
      </c>
      <c r="H51" s="430" t="str">
        <f t="shared" si="0"/>
        <v/>
      </c>
      <c r="I51" s="430" t="str">
        <f t="shared" si="0"/>
        <v/>
      </c>
      <c r="J51" s="430" t="str">
        <f t="shared" si="0"/>
        <v/>
      </c>
      <c r="K51" s="430" t="str">
        <f t="shared" si="0"/>
        <v/>
      </c>
      <c r="L51" s="430" t="str">
        <f t="shared" si="0"/>
        <v/>
      </c>
    </row>
    <row r="52" spans="1:12">
      <c r="A52" s="429">
        <v>2</v>
      </c>
      <c r="B52" s="430">
        <f t="shared" ref="B52:L67" si="1">IF(B4&gt;0,LN(B4),"")</f>
        <v>-3.7771094432283308</v>
      </c>
      <c r="C52" s="430" t="str">
        <f t="shared" si="1"/>
        <v/>
      </c>
      <c r="D52" s="430" t="str">
        <f t="shared" si="1"/>
        <v/>
      </c>
      <c r="E52" s="430" t="str">
        <f t="shared" si="1"/>
        <v/>
      </c>
      <c r="F52" s="430" t="str">
        <f t="shared" si="1"/>
        <v/>
      </c>
      <c r="G52" s="430" t="str">
        <f t="shared" si="1"/>
        <v/>
      </c>
      <c r="H52" s="430" t="str">
        <f t="shared" si="1"/>
        <v/>
      </c>
      <c r="I52" s="430" t="str">
        <f t="shared" si="1"/>
        <v/>
      </c>
      <c r="J52" s="430" t="str">
        <f t="shared" si="1"/>
        <v/>
      </c>
      <c r="K52" s="430" t="str">
        <f t="shared" si="1"/>
        <v/>
      </c>
      <c r="L52" s="430" t="str">
        <f t="shared" si="1"/>
        <v/>
      </c>
    </row>
    <row r="53" spans="1:12">
      <c r="A53" s="429">
        <v>3</v>
      </c>
      <c r="B53" s="430">
        <f t="shared" si="1"/>
        <v>-2.5776883832389665</v>
      </c>
      <c r="C53" s="430" t="str">
        <f t="shared" si="1"/>
        <v/>
      </c>
      <c r="D53" s="430" t="str">
        <f t="shared" si="1"/>
        <v/>
      </c>
      <c r="E53" s="430" t="str">
        <f t="shared" si="1"/>
        <v/>
      </c>
      <c r="F53" s="430" t="str">
        <f t="shared" si="1"/>
        <v/>
      </c>
      <c r="G53" s="430" t="str">
        <f t="shared" si="1"/>
        <v/>
      </c>
      <c r="H53" s="430" t="str">
        <f t="shared" si="1"/>
        <v/>
      </c>
      <c r="I53" s="430" t="str">
        <f t="shared" si="1"/>
        <v/>
      </c>
      <c r="J53" s="430" t="str">
        <f t="shared" si="1"/>
        <v/>
      </c>
      <c r="K53" s="430" t="str">
        <f t="shared" si="1"/>
        <v/>
      </c>
      <c r="L53" s="430" t="str">
        <f t="shared" si="1"/>
        <v/>
      </c>
    </row>
    <row r="54" spans="1:12">
      <c r="A54" s="429">
        <v>4</v>
      </c>
      <c r="B54" s="430">
        <f t="shared" si="1"/>
        <v>-2.2254677896496147</v>
      </c>
      <c r="C54" s="430" t="str">
        <f t="shared" si="1"/>
        <v/>
      </c>
      <c r="D54" s="430" t="str">
        <f t="shared" si="1"/>
        <v/>
      </c>
      <c r="E54" s="430" t="str">
        <f t="shared" si="1"/>
        <v/>
      </c>
      <c r="F54" s="430" t="str">
        <f t="shared" si="1"/>
        <v/>
      </c>
      <c r="G54" s="430" t="str">
        <f t="shared" si="1"/>
        <v/>
      </c>
      <c r="H54" s="430" t="str">
        <f t="shared" si="1"/>
        <v/>
      </c>
      <c r="I54" s="430" t="str">
        <f t="shared" si="1"/>
        <v/>
      </c>
      <c r="J54" s="430" t="str">
        <f t="shared" si="1"/>
        <v/>
      </c>
      <c r="K54" s="430" t="str">
        <f t="shared" si="1"/>
        <v/>
      </c>
      <c r="L54" s="430" t="str">
        <f t="shared" si="1"/>
        <v/>
      </c>
    </row>
    <row r="55" spans="1:12">
      <c r="A55" s="429">
        <v>5</v>
      </c>
      <c r="B55" s="430" t="str">
        <f t="shared" si="1"/>
        <v/>
      </c>
      <c r="C55" s="430" t="str">
        <f t="shared" si="1"/>
        <v/>
      </c>
      <c r="D55" s="430" t="str">
        <f t="shared" si="1"/>
        <v/>
      </c>
      <c r="E55" s="430" t="str">
        <f t="shared" si="1"/>
        <v/>
      </c>
      <c r="F55" s="430" t="str">
        <f t="shared" si="1"/>
        <v/>
      </c>
      <c r="G55" s="430" t="str">
        <f t="shared" si="1"/>
        <v/>
      </c>
      <c r="H55" s="430" t="str">
        <f t="shared" si="1"/>
        <v/>
      </c>
      <c r="I55" s="430" t="str">
        <f t="shared" si="1"/>
        <v/>
      </c>
      <c r="J55" s="430" t="str">
        <f t="shared" si="1"/>
        <v/>
      </c>
      <c r="K55" s="430" t="str">
        <f t="shared" si="1"/>
        <v/>
      </c>
      <c r="L55" s="430" t="str">
        <f t="shared" si="1"/>
        <v/>
      </c>
    </row>
    <row r="56" spans="1:12">
      <c r="A56" s="429">
        <v>6</v>
      </c>
      <c r="B56" s="430" t="str">
        <f t="shared" si="1"/>
        <v/>
      </c>
      <c r="C56" s="430" t="str">
        <f t="shared" si="1"/>
        <v/>
      </c>
      <c r="D56" s="430" t="str">
        <f t="shared" si="1"/>
        <v/>
      </c>
      <c r="E56" s="430" t="str">
        <f t="shared" si="1"/>
        <v/>
      </c>
      <c r="F56" s="430" t="str">
        <f t="shared" si="1"/>
        <v/>
      </c>
      <c r="G56" s="430" t="str">
        <f t="shared" si="1"/>
        <v/>
      </c>
      <c r="H56" s="430" t="str">
        <f t="shared" si="1"/>
        <v/>
      </c>
      <c r="I56" s="430" t="str">
        <f t="shared" si="1"/>
        <v/>
      </c>
      <c r="J56" s="430" t="str">
        <f t="shared" si="1"/>
        <v/>
      </c>
      <c r="K56" s="430" t="str">
        <f t="shared" si="1"/>
        <v/>
      </c>
      <c r="L56" s="430" t="str">
        <f t="shared" si="1"/>
        <v/>
      </c>
    </row>
    <row r="57" spans="1:12">
      <c r="A57" s="429">
        <v>7</v>
      </c>
      <c r="B57" s="430" t="str">
        <f t="shared" si="1"/>
        <v/>
      </c>
      <c r="C57" s="430" t="str">
        <f t="shared" si="1"/>
        <v/>
      </c>
      <c r="D57" s="430" t="str">
        <f t="shared" si="1"/>
        <v/>
      </c>
      <c r="E57" s="430" t="str">
        <f t="shared" si="1"/>
        <v/>
      </c>
      <c r="F57" s="430" t="str">
        <f t="shared" si="1"/>
        <v/>
      </c>
      <c r="G57" s="430" t="str">
        <f t="shared" si="1"/>
        <v/>
      </c>
      <c r="H57" s="430" t="str">
        <f t="shared" si="1"/>
        <v/>
      </c>
      <c r="I57" s="430" t="str">
        <f t="shared" si="1"/>
        <v/>
      </c>
      <c r="J57" s="430" t="str">
        <f t="shared" si="1"/>
        <v/>
      </c>
      <c r="K57" s="430" t="str">
        <f t="shared" si="1"/>
        <v/>
      </c>
      <c r="L57" s="430" t="str">
        <f t="shared" si="1"/>
        <v/>
      </c>
    </row>
    <row r="58" spans="1:12">
      <c r="A58" s="429">
        <v>8</v>
      </c>
      <c r="B58" s="430" t="str">
        <f t="shared" si="1"/>
        <v/>
      </c>
      <c r="C58" s="430" t="str">
        <f t="shared" si="1"/>
        <v/>
      </c>
      <c r="D58" s="430" t="str">
        <f t="shared" si="1"/>
        <v/>
      </c>
      <c r="E58" s="430" t="str">
        <f t="shared" si="1"/>
        <v/>
      </c>
      <c r="F58" s="430" t="str">
        <f t="shared" si="1"/>
        <v/>
      </c>
      <c r="G58" s="430" t="str">
        <f t="shared" si="1"/>
        <v/>
      </c>
      <c r="H58" s="430" t="str">
        <f t="shared" si="1"/>
        <v/>
      </c>
      <c r="I58" s="430" t="str">
        <f t="shared" si="1"/>
        <v/>
      </c>
      <c r="J58" s="430" t="str">
        <f t="shared" si="1"/>
        <v/>
      </c>
      <c r="K58" s="430" t="str">
        <f t="shared" si="1"/>
        <v/>
      </c>
      <c r="L58" s="430" t="str">
        <f t="shared" si="1"/>
        <v/>
      </c>
    </row>
    <row r="59" spans="1:12">
      <c r="A59" s="429">
        <v>9</v>
      </c>
      <c r="B59" s="430" t="str">
        <f t="shared" si="1"/>
        <v/>
      </c>
      <c r="C59" s="430" t="str">
        <f t="shared" si="1"/>
        <v/>
      </c>
      <c r="D59" s="430" t="str">
        <f t="shared" si="1"/>
        <v/>
      </c>
      <c r="E59" s="430" t="str">
        <f t="shared" si="1"/>
        <v/>
      </c>
      <c r="F59" s="430" t="str">
        <f t="shared" si="1"/>
        <v/>
      </c>
      <c r="G59" s="430" t="str">
        <f t="shared" si="1"/>
        <v/>
      </c>
      <c r="H59" s="430" t="str">
        <f t="shared" si="1"/>
        <v/>
      </c>
      <c r="I59" s="430" t="str">
        <f t="shared" si="1"/>
        <v/>
      </c>
      <c r="J59" s="430" t="str">
        <f t="shared" si="1"/>
        <v/>
      </c>
      <c r="K59" s="430" t="str">
        <f t="shared" si="1"/>
        <v/>
      </c>
      <c r="L59" s="430" t="str">
        <f t="shared" si="1"/>
        <v/>
      </c>
    </row>
    <row r="60" spans="1:12">
      <c r="A60" s="429">
        <v>10</v>
      </c>
      <c r="B60" s="430" t="str">
        <f t="shared" si="1"/>
        <v/>
      </c>
      <c r="C60" s="430" t="str">
        <f t="shared" si="1"/>
        <v/>
      </c>
      <c r="D60" s="430" t="str">
        <f t="shared" si="1"/>
        <v/>
      </c>
      <c r="E60" s="430" t="str">
        <f t="shared" si="1"/>
        <v/>
      </c>
      <c r="F60" s="430" t="str">
        <f t="shared" si="1"/>
        <v/>
      </c>
      <c r="G60" s="430" t="str">
        <f t="shared" si="1"/>
        <v/>
      </c>
      <c r="H60" s="430" t="str">
        <f t="shared" si="1"/>
        <v/>
      </c>
      <c r="I60" s="430" t="str">
        <f t="shared" si="1"/>
        <v/>
      </c>
      <c r="J60" s="430" t="str">
        <f t="shared" si="1"/>
        <v/>
      </c>
      <c r="K60" s="430" t="str">
        <f t="shared" si="1"/>
        <v/>
      </c>
      <c r="L60" s="430" t="str">
        <f t="shared" si="1"/>
        <v/>
      </c>
    </row>
    <row r="61" spans="1:12">
      <c r="A61" s="429">
        <v>11</v>
      </c>
      <c r="B61" s="430" t="str">
        <f t="shared" si="1"/>
        <v/>
      </c>
      <c r="C61" s="430" t="str">
        <f t="shared" si="1"/>
        <v/>
      </c>
      <c r="D61" s="430" t="str">
        <f t="shared" si="1"/>
        <v/>
      </c>
      <c r="E61" s="430" t="str">
        <f t="shared" si="1"/>
        <v/>
      </c>
      <c r="F61" s="430" t="str">
        <f t="shared" si="1"/>
        <v/>
      </c>
      <c r="G61" s="430" t="str">
        <f t="shared" si="1"/>
        <v/>
      </c>
      <c r="H61" s="430" t="str">
        <f t="shared" si="1"/>
        <v/>
      </c>
      <c r="I61" s="430" t="str">
        <f t="shared" si="1"/>
        <v/>
      </c>
      <c r="J61" s="430" t="str">
        <f t="shared" si="1"/>
        <v/>
      </c>
      <c r="K61" s="430" t="str">
        <f t="shared" si="1"/>
        <v/>
      </c>
      <c r="L61" s="430" t="str">
        <f t="shared" si="1"/>
        <v/>
      </c>
    </row>
    <row r="62" spans="1:12">
      <c r="A62" s="429">
        <v>12</v>
      </c>
      <c r="B62" s="430" t="str">
        <f t="shared" si="1"/>
        <v/>
      </c>
      <c r="C62" s="430" t="str">
        <f t="shared" si="1"/>
        <v/>
      </c>
      <c r="D62" s="430" t="str">
        <f t="shared" si="1"/>
        <v/>
      </c>
      <c r="E62" s="430" t="str">
        <f t="shared" si="1"/>
        <v/>
      </c>
      <c r="F62" s="430" t="str">
        <f t="shared" si="1"/>
        <v/>
      </c>
      <c r="G62" s="430" t="str">
        <f t="shared" si="1"/>
        <v/>
      </c>
      <c r="H62" s="430" t="str">
        <f t="shared" si="1"/>
        <v/>
      </c>
      <c r="I62" s="430" t="str">
        <f t="shared" si="1"/>
        <v/>
      </c>
      <c r="J62" s="430" t="str">
        <f t="shared" si="1"/>
        <v/>
      </c>
      <c r="K62" s="430" t="str">
        <f t="shared" si="1"/>
        <v/>
      </c>
      <c r="L62" s="430" t="str">
        <f t="shared" si="1"/>
        <v/>
      </c>
    </row>
    <row r="63" spans="1:12">
      <c r="A63" s="429">
        <v>13</v>
      </c>
      <c r="B63" s="430" t="str">
        <f t="shared" si="1"/>
        <v/>
      </c>
      <c r="C63" s="430" t="str">
        <f t="shared" si="1"/>
        <v/>
      </c>
      <c r="D63" s="430" t="str">
        <f t="shared" si="1"/>
        <v/>
      </c>
      <c r="E63" s="430" t="str">
        <f t="shared" si="1"/>
        <v/>
      </c>
      <c r="F63" s="430" t="str">
        <f t="shared" si="1"/>
        <v/>
      </c>
      <c r="G63" s="430" t="str">
        <f t="shared" si="1"/>
        <v/>
      </c>
      <c r="H63" s="430" t="str">
        <f t="shared" si="1"/>
        <v/>
      </c>
      <c r="I63" s="430" t="str">
        <f t="shared" si="1"/>
        <v/>
      </c>
      <c r="J63" s="430" t="str">
        <f t="shared" si="1"/>
        <v/>
      </c>
      <c r="K63" s="430" t="str">
        <f t="shared" si="1"/>
        <v/>
      </c>
      <c r="L63" s="430" t="str">
        <f t="shared" si="1"/>
        <v/>
      </c>
    </row>
    <row r="64" spans="1:12">
      <c r="A64" s="429">
        <v>14</v>
      </c>
      <c r="B64" s="430" t="str">
        <f t="shared" si="1"/>
        <v/>
      </c>
      <c r="C64" s="430" t="str">
        <f t="shared" si="1"/>
        <v/>
      </c>
      <c r="D64" s="430" t="str">
        <f t="shared" si="1"/>
        <v/>
      </c>
      <c r="E64" s="430" t="str">
        <f t="shared" si="1"/>
        <v/>
      </c>
      <c r="F64" s="430" t="str">
        <f t="shared" si="1"/>
        <v/>
      </c>
      <c r="G64" s="430" t="str">
        <f t="shared" si="1"/>
        <v/>
      </c>
      <c r="H64" s="430" t="str">
        <f t="shared" si="1"/>
        <v/>
      </c>
      <c r="I64" s="430" t="str">
        <f t="shared" si="1"/>
        <v/>
      </c>
      <c r="J64" s="430" t="str">
        <f t="shared" si="1"/>
        <v/>
      </c>
      <c r="K64" s="430" t="str">
        <f t="shared" si="1"/>
        <v/>
      </c>
      <c r="L64" s="430" t="str">
        <f t="shared" si="1"/>
        <v/>
      </c>
    </row>
    <row r="65" spans="1:12">
      <c r="A65" s="429">
        <v>15</v>
      </c>
      <c r="B65" s="430" t="str">
        <f t="shared" si="1"/>
        <v/>
      </c>
      <c r="C65" s="430" t="str">
        <f t="shared" si="1"/>
        <v/>
      </c>
      <c r="D65" s="430" t="str">
        <f t="shared" si="1"/>
        <v/>
      </c>
      <c r="E65" s="430" t="str">
        <f t="shared" si="1"/>
        <v/>
      </c>
      <c r="F65" s="430" t="str">
        <f t="shared" si="1"/>
        <v/>
      </c>
      <c r="G65" s="430" t="str">
        <f t="shared" si="1"/>
        <v/>
      </c>
      <c r="H65" s="430" t="str">
        <f t="shared" si="1"/>
        <v/>
      </c>
      <c r="I65" s="430" t="str">
        <f t="shared" si="1"/>
        <v/>
      </c>
      <c r="J65" s="430" t="str">
        <f t="shared" si="1"/>
        <v/>
      </c>
      <c r="K65" s="430" t="str">
        <f t="shared" si="1"/>
        <v/>
      </c>
      <c r="L65" s="430" t="str">
        <f t="shared" si="1"/>
        <v/>
      </c>
    </row>
    <row r="66" spans="1:12">
      <c r="A66" s="429">
        <v>16</v>
      </c>
      <c r="B66" s="430" t="str">
        <f t="shared" si="1"/>
        <v/>
      </c>
      <c r="C66" s="430" t="str">
        <f t="shared" si="1"/>
        <v/>
      </c>
      <c r="D66" s="430" t="str">
        <f t="shared" si="1"/>
        <v/>
      </c>
      <c r="E66" s="430" t="str">
        <f t="shared" si="1"/>
        <v/>
      </c>
      <c r="F66" s="430" t="str">
        <f t="shared" si="1"/>
        <v/>
      </c>
      <c r="G66" s="430" t="str">
        <f t="shared" si="1"/>
        <v/>
      </c>
      <c r="H66" s="430" t="str">
        <f t="shared" si="1"/>
        <v/>
      </c>
      <c r="I66" s="430" t="str">
        <f t="shared" si="1"/>
        <v/>
      </c>
      <c r="J66" s="430" t="str">
        <f t="shared" si="1"/>
        <v/>
      </c>
      <c r="K66" s="430" t="str">
        <f t="shared" si="1"/>
        <v/>
      </c>
      <c r="L66" s="430" t="str">
        <f t="shared" si="1"/>
        <v/>
      </c>
    </row>
    <row r="67" spans="1:12">
      <c r="A67" s="429">
        <v>17</v>
      </c>
      <c r="B67" s="430" t="str">
        <f t="shared" si="1"/>
        <v/>
      </c>
      <c r="C67" s="430" t="str">
        <f t="shared" si="1"/>
        <v/>
      </c>
      <c r="D67" s="430" t="str">
        <f t="shared" si="1"/>
        <v/>
      </c>
      <c r="E67" s="430" t="str">
        <f t="shared" si="1"/>
        <v/>
      </c>
      <c r="F67" s="430" t="str">
        <f t="shared" si="1"/>
        <v/>
      </c>
      <c r="G67" s="430" t="str">
        <f t="shared" si="1"/>
        <v/>
      </c>
      <c r="H67" s="430" t="str">
        <f t="shared" si="1"/>
        <v/>
      </c>
      <c r="I67" s="430" t="str">
        <f t="shared" si="1"/>
        <v/>
      </c>
      <c r="J67" s="430" t="str">
        <f t="shared" si="1"/>
        <v/>
      </c>
      <c r="K67" s="430" t="str">
        <f t="shared" si="1"/>
        <v/>
      </c>
      <c r="L67" s="430" t="str">
        <f t="shared" si="1"/>
        <v/>
      </c>
    </row>
    <row r="68" spans="1:12">
      <c r="A68" s="429">
        <v>18</v>
      </c>
      <c r="B68" s="430" t="str">
        <f t="shared" ref="B68:L83" si="2">IF(B20&gt;0,LN(B20),"")</f>
        <v/>
      </c>
      <c r="C68" s="430" t="str">
        <f t="shared" si="2"/>
        <v/>
      </c>
      <c r="D68" s="430" t="str">
        <f t="shared" si="2"/>
        <v/>
      </c>
      <c r="E68" s="430" t="str">
        <f t="shared" si="2"/>
        <v/>
      </c>
      <c r="F68" s="430" t="str">
        <f t="shared" si="2"/>
        <v/>
      </c>
      <c r="G68" s="430" t="str">
        <f t="shared" si="2"/>
        <v/>
      </c>
      <c r="H68" s="430" t="str">
        <f t="shared" si="2"/>
        <v/>
      </c>
      <c r="I68" s="430" t="str">
        <f t="shared" si="2"/>
        <v/>
      </c>
      <c r="J68" s="430" t="str">
        <f t="shared" si="2"/>
        <v/>
      </c>
      <c r="K68" s="430" t="str">
        <f t="shared" si="2"/>
        <v/>
      </c>
      <c r="L68" s="430" t="str">
        <f t="shared" si="2"/>
        <v/>
      </c>
    </row>
    <row r="69" spans="1:12">
      <c r="A69" s="429">
        <v>19</v>
      </c>
      <c r="B69" s="430" t="str">
        <f t="shared" si="2"/>
        <v/>
      </c>
      <c r="C69" s="430" t="str">
        <f t="shared" si="2"/>
        <v/>
      </c>
      <c r="D69" s="430" t="str">
        <f t="shared" si="2"/>
        <v/>
      </c>
      <c r="E69" s="430" t="str">
        <f t="shared" si="2"/>
        <v/>
      </c>
      <c r="F69" s="430" t="str">
        <f t="shared" si="2"/>
        <v/>
      </c>
      <c r="G69" s="430" t="str">
        <f t="shared" si="2"/>
        <v/>
      </c>
      <c r="H69" s="430" t="str">
        <f t="shared" si="2"/>
        <v/>
      </c>
      <c r="I69" s="430" t="str">
        <f t="shared" si="2"/>
        <v/>
      </c>
      <c r="J69" s="430" t="str">
        <f t="shared" si="2"/>
        <v/>
      </c>
      <c r="K69" s="430" t="str">
        <f t="shared" si="2"/>
        <v/>
      </c>
      <c r="L69" s="430" t="str">
        <f t="shared" si="2"/>
        <v/>
      </c>
    </row>
    <row r="70" spans="1:12">
      <c r="A70" s="429">
        <v>20</v>
      </c>
      <c r="B70" s="430" t="str">
        <f t="shared" si="2"/>
        <v/>
      </c>
      <c r="C70" s="430" t="str">
        <f t="shared" si="2"/>
        <v/>
      </c>
      <c r="D70" s="430" t="str">
        <f t="shared" si="2"/>
        <v/>
      </c>
      <c r="E70" s="430" t="str">
        <f t="shared" si="2"/>
        <v/>
      </c>
      <c r="F70" s="430" t="str">
        <f t="shared" si="2"/>
        <v/>
      </c>
      <c r="G70" s="430" t="str">
        <f t="shared" si="2"/>
        <v/>
      </c>
      <c r="H70" s="430" t="str">
        <f t="shared" si="2"/>
        <v/>
      </c>
      <c r="I70" s="430" t="str">
        <f t="shared" si="2"/>
        <v/>
      </c>
      <c r="J70" s="430" t="str">
        <f t="shared" si="2"/>
        <v/>
      </c>
      <c r="K70" s="430" t="str">
        <f t="shared" si="2"/>
        <v/>
      </c>
      <c r="L70" s="430" t="str">
        <f t="shared" si="2"/>
        <v/>
      </c>
    </row>
    <row r="71" spans="1:12">
      <c r="A71" s="429">
        <v>21</v>
      </c>
      <c r="B71" s="430" t="str">
        <f t="shared" si="2"/>
        <v/>
      </c>
      <c r="C71" s="430" t="str">
        <f t="shared" si="2"/>
        <v/>
      </c>
      <c r="D71" s="430" t="str">
        <f t="shared" si="2"/>
        <v/>
      </c>
      <c r="E71" s="430" t="str">
        <f t="shared" si="2"/>
        <v/>
      </c>
      <c r="F71" s="430" t="str">
        <f t="shared" si="2"/>
        <v/>
      </c>
      <c r="G71" s="430" t="str">
        <f t="shared" si="2"/>
        <v/>
      </c>
      <c r="H71" s="430" t="str">
        <f t="shared" si="2"/>
        <v/>
      </c>
      <c r="I71" s="430" t="str">
        <f t="shared" si="2"/>
        <v/>
      </c>
      <c r="J71" s="430" t="str">
        <f t="shared" si="2"/>
        <v/>
      </c>
      <c r="K71" s="430" t="str">
        <f t="shared" si="2"/>
        <v/>
      </c>
      <c r="L71" s="430" t="str">
        <f t="shared" si="2"/>
        <v/>
      </c>
    </row>
    <row r="72" spans="1:12">
      <c r="A72" s="429">
        <v>22</v>
      </c>
      <c r="B72" s="430" t="str">
        <f t="shared" si="2"/>
        <v/>
      </c>
      <c r="C72" s="430" t="str">
        <f t="shared" si="2"/>
        <v/>
      </c>
      <c r="D72" s="430" t="str">
        <f t="shared" si="2"/>
        <v/>
      </c>
      <c r="E72" s="430" t="str">
        <f t="shared" si="2"/>
        <v/>
      </c>
      <c r="F72" s="430" t="str">
        <f t="shared" si="2"/>
        <v/>
      </c>
      <c r="G72" s="430" t="str">
        <f t="shared" si="2"/>
        <v/>
      </c>
      <c r="H72" s="430" t="str">
        <f t="shared" si="2"/>
        <v/>
      </c>
      <c r="I72" s="430" t="str">
        <f t="shared" si="2"/>
        <v/>
      </c>
      <c r="J72" s="430" t="str">
        <f t="shared" si="2"/>
        <v/>
      </c>
      <c r="K72" s="430" t="str">
        <f t="shared" si="2"/>
        <v/>
      </c>
      <c r="L72" s="430" t="str">
        <f t="shared" si="2"/>
        <v/>
      </c>
    </row>
    <row r="73" spans="1:12">
      <c r="A73" s="429">
        <v>23</v>
      </c>
      <c r="B73" s="430" t="str">
        <f t="shared" si="2"/>
        <v/>
      </c>
      <c r="C73" s="430" t="str">
        <f t="shared" si="2"/>
        <v/>
      </c>
      <c r="D73" s="430" t="str">
        <f t="shared" si="2"/>
        <v/>
      </c>
      <c r="E73" s="430" t="str">
        <f t="shared" si="2"/>
        <v/>
      </c>
      <c r="F73" s="430" t="str">
        <f t="shared" si="2"/>
        <v/>
      </c>
      <c r="G73" s="430" t="str">
        <f t="shared" si="2"/>
        <v/>
      </c>
      <c r="H73" s="430" t="str">
        <f t="shared" si="2"/>
        <v/>
      </c>
      <c r="I73" s="430" t="str">
        <f t="shared" si="2"/>
        <v/>
      </c>
      <c r="J73" s="430" t="str">
        <f t="shared" si="2"/>
        <v/>
      </c>
      <c r="K73" s="430" t="str">
        <f t="shared" si="2"/>
        <v/>
      </c>
      <c r="L73" s="430" t="str">
        <f t="shared" si="2"/>
        <v/>
      </c>
    </row>
    <row r="74" spans="1:12">
      <c r="A74" s="429">
        <v>24</v>
      </c>
      <c r="B74" s="430" t="str">
        <f t="shared" si="2"/>
        <v/>
      </c>
      <c r="C74" s="430" t="str">
        <f t="shared" si="2"/>
        <v/>
      </c>
      <c r="D74" s="430" t="str">
        <f t="shared" si="2"/>
        <v/>
      </c>
      <c r="E74" s="430" t="str">
        <f t="shared" si="2"/>
        <v/>
      </c>
      <c r="F74" s="430" t="str">
        <f t="shared" si="2"/>
        <v/>
      </c>
      <c r="G74" s="430" t="str">
        <f t="shared" si="2"/>
        <v/>
      </c>
      <c r="H74" s="430" t="str">
        <f t="shared" si="2"/>
        <v/>
      </c>
      <c r="I74" s="430" t="str">
        <f t="shared" si="2"/>
        <v/>
      </c>
      <c r="J74" s="430" t="str">
        <f t="shared" si="2"/>
        <v/>
      </c>
      <c r="K74" s="430" t="str">
        <f t="shared" si="2"/>
        <v/>
      </c>
      <c r="L74" s="430" t="str">
        <f t="shared" si="2"/>
        <v/>
      </c>
    </row>
    <row r="75" spans="1:12">
      <c r="A75" s="429">
        <v>25</v>
      </c>
      <c r="B75" s="430" t="str">
        <f t="shared" si="2"/>
        <v/>
      </c>
      <c r="C75" s="430" t="str">
        <f t="shared" si="2"/>
        <v/>
      </c>
      <c r="D75" s="430" t="str">
        <f t="shared" si="2"/>
        <v/>
      </c>
      <c r="E75" s="430" t="str">
        <f t="shared" si="2"/>
        <v/>
      </c>
      <c r="F75" s="430" t="str">
        <f t="shared" si="2"/>
        <v/>
      </c>
      <c r="G75" s="430" t="str">
        <f t="shared" si="2"/>
        <v/>
      </c>
      <c r="H75" s="430" t="str">
        <f t="shared" si="2"/>
        <v/>
      </c>
      <c r="I75" s="430" t="str">
        <f t="shared" si="2"/>
        <v/>
      </c>
      <c r="J75" s="430" t="str">
        <f t="shared" si="2"/>
        <v/>
      </c>
      <c r="K75" s="430" t="str">
        <f t="shared" si="2"/>
        <v/>
      </c>
      <c r="L75" s="430" t="str">
        <f t="shared" si="2"/>
        <v/>
      </c>
    </row>
    <row r="76" spans="1:12">
      <c r="A76" s="429">
        <v>26</v>
      </c>
      <c r="B76" s="430" t="str">
        <f t="shared" si="2"/>
        <v/>
      </c>
      <c r="C76" s="430" t="str">
        <f t="shared" si="2"/>
        <v/>
      </c>
      <c r="D76" s="430" t="str">
        <f t="shared" si="2"/>
        <v/>
      </c>
      <c r="E76" s="430" t="str">
        <f t="shared" si="2"/>
        <v/>
      </c>
      <c r="F76" s="430" t="str">
        <f t="shared" si="2"/>
        <v/>
      </c>
      <c r="G76" s="430" t="str">
        <f t="shared" si="2"/>
        <v/>
      </c>
      <c r="H76" s="430" t="str">
        <f t="shared" si="2"/>
        <v/>
      </c>
      <c r="I76" s="430" t="str">
        <f t="shared" si="2"/>
        <v/>
      </c>
      <c r="J76" s="430" t="str">
        <f t="shared" si="2"/>
        <v/>
      </c>
      <c r="K76" s="430" t="str">
        <f t="shared" si="2"/>
        <v/>
      </c>
      <c r="L76" s="430" t="str">
        <f t="shared" si="2"/>
        <v/>
      </c>
    </row>
    <row r="77" spans="1:12">
      <c r="A77" s="429">
        <v>27</v>
      </c>
      <c r="B77" s="430" t="str">
        <f t="shared" si="2"/>
        <v/>
      </c>
      <c r="C77" s="430" t="str">
        <f t="shared" si="2"/>
        <v/>
      </c>
      <c r="D77" s="430" t="str">
        <f t="shared" si="2"/>
        <v/>
      </c>
      <c r="E77" s="430" t="str">
        <f t="shared" si="2"/>
        <v/>
      </c>
      <c r="F77" s="430" t="str">
        <f t="shared" si="2"/>
        <v/>
      </c>
      <c r="G77" s="430" t="str">
        <f t="shared" si="2"/>
        <v/>
      </c>
      <c r="H77" s="430" t="str">
        <f t="shared" si="2"/>
        <v/>
      </c>
      <c r="I77" s="430" t="str">
        <f t="shared" si="2"/>
        <v/>
      </c>
      <c r="J77" s="430" t="str">
        <f t="shared" si="2"/>
        <v/>
      </c>
      <c r="K77" s="430" t="str">
        <f t="shared" si="2"/>
        <v/>
      </c>
      <c r="L77" s="430" t="str">
        <f t="shared" si="2"/>
        <v/>
      </c>
    </row>
    <row r="78" spans="1:12">
      <c r="A78" s="429">
        <v>28</v>
      </c>
      <c r="B78" s="430" t="str">
        <f t="shared" si="2"/>
        <v/>
      </c>
      <c r="C78" s="430" t="str">
        <f t="shared" si="2"/>
        <v/>
      </c>
      <c r="D78" s="430" t="str">
        <f t="shared" si="2"/>
        <v/>
      </c>
      <c r="E78" s="430" t="str">
        <f t="shared" si="2"/>
        <v/>
      </c>
      <c r="F78" s="430" t="str">
        <f t="shared" si="2"/>
        <v/>
      </c>
      <c r="G78" s="430" t="str">
        <f t="shared" si="2"/>
        <v/>
      </c>
      <c r="H78" s="430" t="str">
        <f t="shared" si="2"/>
        <v/>
      </c>
      <c r="I78" s="430" t="str">
        <f t="shared" si="2"/>
        <v/>
      </c>
      <c r="J78" s="430" t="str">
        <f t="shared" si="2"/>
        <v/>
      </c>
      <c r="K78" s="430" t="str">
        <f t="shared" si="2"/>
        <v/>
      </c>
      <c r="L78" s="430" t="str">
        <f t="shared" si="2"/>
        <v/>
      </c>
    </row>
    <row r="79" spans="1:12">
      <c r="A79" s="429">
        <v>29</v>
      </c>
      <c r="B79" s="430" t="str">
        <f t="shared" si="2"/>
        <v/>
      </c>
      <c r="C79" s="430" t="str">
        <f t="shared" si="2"/>
        <v/>
      </c>
      <c r="D79" s="430" t="str">
        <f t="shared" si="2"/>
        <v/>
      </c>
      <c r="E79" s="430" t="str">
        <f t="shared" si="2"/>
        <v/>
      </c>
      <c r="F79" s="430" t="str">
        <f t="shared" si="2"/>
        <v/>
      </c>
      <c r="G79" s="430" t="str">
        <f t="shared" si="2"/>
        <v/>
      </c>
      <c r="H79" s="430" t="str">
        <f t="shared" si="2"/>
        <v/>
      </c>
      <c r="I79" s="430" t="str">
        <f t="shared" si="2"/>
        <v/>
      </c>
      <c r="J79" s="430" t="str">
        <f t="shared" si="2"/>
        <v/>
      </c>
      <c r="K79" s="430" t="str">
        <f t="shared" si="2"/>
        <v/>
      </c>
      <c r="L79" s="430" t="str">
        <f t="shared" si="2"/>
        <v/>
      </c>
    </row>
    <row r="80" spans="1:12">
      <c r="A80" s="429">
        <v>30</v>
      </c>
      <c r="B80" s="430" t="str">
        <f t="shared" si="2"/>
        <v/>
      </c>
      <c r="C80" s="430" t="str">
        <f t="shared" si="2"/>
        <v/>
      </c>
      <c r="D80" s="430" t="str">
        <f t="shared" si="2"/>
        <v/>
      </c>
      <c r="E80" s="430" t="str">
        <f t="shared" si="2"/>
        <v/>
      </c>
      <c r="F80" s="430" t="str">
        <f t="shared" si="2"/>
        <v/>
      </c>
      <c r="G80" s="430" t="str">
        <f t="shared" si="2"/>
        <v/>
      </c>
      <c r="H80" s="430" t="str">
        <f t="shared" si="2"/>
        <v/>
      </c>
      <c r="I80" s="430" t="str">
        <f t="shared" si="2"/>
        <v/>
      </c>
      <c r="J80" s="430" t="str">
        <f t="shared" si="2"/>
        <v/>
      </c>
      <c r="K80" s="430" t="str">
        <f t="shared" si="2"/>
        <v/>
      </c>
      <c r="L80" s="430" t="str">
        <f t="shared" si="2"/>
        <v/>
      </c>
    </row>
    <row r="81" spans="1:12">
      <c r="A81" s="429">
        <v>31</v>
      </c>
      <c r="B81" s="430" t="str">
        <f t="shared" si="2"/>
        <v/>
      </c>
      <c r="C81" s="430" t="str">
        <f t="shared" si="2"/>
        <v/>
      </c>
      <c r="D81" s="430" t="str">
        <f t="shared" si="2"/>
        <v/>
      </c>
      <c r="E81" s="430" t="str">
        <f t="shared" si="2"/>
        <v/>
      </c>
      <c r="F81" s="430" t="str">
        <f t="shared" si="2"/>
        <v/>
      </c>
      <c r="G81" s="430" t="str">
        <f t="shared" si="2"/>
        <v/>
      </c>
      <c r="H81" s="430" t="str">
        <f t="shared" si="2"/>
        <v/>
      </c>
      <c r="I81" s="430" t="str">
        <f t="shared" si="2"/>
        <v/>
      </c>
      <c r="J81" s="430" t="str">
        <f t="shared" si="2"/>
        <v/>
      </c>
      <c r="K81" s="430" t="str">
        <f t="shared" si="2"/>
        <v/>
      </c>
      <c r="L81" s="430" t="str">
        <f t="shared" si="2"/>
        <v/>
      </c>
    </row>
    <row r="82" spans="1:12">
      <c r="A82" s="429">
        <v>32</v>
      </c>
      <c r="B82" s="430" t="str">
        <f t="shared" si="2"/>
        <v/>
      </c>
      <c r="C82" s="430" t="str">
        <f t="shared" si="2"/>
        <v/>
      </c>
      <c r="D82" s="430" t="str">
        <f t="shared" si="2"/>
        <v/>
      </c>
      <c r="E82" s="430" t="str">
        <f t="shared" si="2"/>
        <v/>
      </c>
      <c r="F82" s="430" t="str">
        <f t="shared" si="2"/>
        <v/>
      </c>
      <c r="G82" s="430" t="str">
        <f t="shared" si="2"/>
        <v/>
      </c>
      <c r="H82" s="430" t="str">
        <f t="shared" si="2"/>
        <v/>
      </c>
      <c r="I82" s="430" t="str">
        <f t="shared" si="2"/>
        <v/>
      </c>
      <c r="J82" s="430" t="str">
        <f t="shared" si="2"/>
        <v/>
      </c>
      <c r="K82" s="430" t="str">
        <f t="shared" si="2"/>
        <v/>
      </c>
      <c r="L82" s="430" t="str">
        <f t="shared" si="2"/>
        <v/>
      </c>
    </row>
    <row r="83" spans="1:12">
      <c r="A83" s="429">
        <v>33</v>
      </c>
      <c r="B83" s="430" t="str">
        <f t="shared" si="2"/>
        <v/>
      </c>
      <c r="C83" s="430" t="str">
        <f t="shared" si="2"/>
        <v/>
      </c>
      <c r="D83" s="430" t="str">
        <f t="shared" si="2"/>
        <v/>
      </c>
      <c r="E83" s="430" t="str">
        <f t="shared" si="2"/>
        <v/>
      </c>
      <c r="F83" s="430" t="str">
        <f t="shared" si="2"/>
        <v/>
      </c>
      <c r="G83" s="430" t="str">
        <f t="shared" si="2"/>
        <v/>
      </c>
      <c r="H83" s="430" t="str">
        <f t="shared" si="2"/>
        <v/>
      </c>
      <c r="I83" s="430" t="str">
        <f t="shared" si="2"/>
        <v/>
      </c>
      <c r="J83" s="430" t="str">
        <f t="shared" si="2"/>
        <v/>
      </c>
      <c r="K83" s="430" t="str">
        <f t="shared" si="2"/>
        <v/>
      </c>
      <c r="L83" s="430" t="str">
        <f t="shared" si="2"/>
        <v/>
      </c>
    </row>
    <row r="84" spans="1:12">
      <c r="A84" s="429">
        <v>34</v>
      </c>
      <c r="B84" s="430" t="str">
        <f t="shared" ref="B84:L85" si="3">IF(B36&gt;0,LN(B36),"")</f>
        <v/>
      </c>
      <c r="C84" s="430" t="str">
        <f t="shared" si="3"/>
        <v/>
      </c>
      <c r="D84" s="430" t="str">
        <f t="shared" si="3"/>
        <v/>
      </c>
      <c r="E84" s="430" t="str">
        <f t="shared" si="3"/>
        <v/>
      </c>
      <c r="F84" s="430" t="str">
        <f t="shared" si="3"/>
        <v/>
      </c>
      <c r="G84" s="430" t="str">
        <f t="shared" si="3"/>
        <v/>
      </c>
      <c r="H84" s="430" t="str">
        <f t="shared" si="3"/>
        <v/>
      </c>
      <c r="I84" s="430" t="str">
        <f t="shared" si="3"/>
        <v/>
      </c>
      <c r="J84" s="430" t="str">
        <f t="shared" si="3"/>
        <v/>
      </c>
      <c r="K84" s="430" t="str">
        <f t="shared" si="3"/>
        <v/>
      </c>
      <c r="L84" s="430" t="str">
        <f t="shared" si="3"/>
        <v/>
      </c>
    </row>
    <row r="85" spans="1:12">
      <c r="A85" s="429">
        <v>35</v>
      </c>
      <c r="B85" s="430" t="str">
        <f t="shared" si="3"/>
        <v/>
      </c>
      <c r="C85" s="430" t="str">
        <f t="shared" si="3"/>
        <v/>
      </c>
      <c r="D85" s="430" t="str">
        <f t="shared" si="3"/>
        <v/>
      </c>
      <c r="E85" s="430" t="str">
        <f t="shared" si="3"/>
        <v/>
      </c>
      <c r="F85" s="430" t="str">
        <f t="shared" si="3"/>
        <v/>
      </c>
      <c r="G85" s="430" t="str">
        <f t="shared" si="3"/>
        <v/>
      </c>
      <c r="H85" s="430" t="str">
        <f t="shared" si="3"/>
        <v/>
      </c>
      <c r="I85" s="430" t="str">
        <f t="shared" si="3"/>
        <v/>
      </c>
      <c r="J85" s="430" t="str">
        <f t="shared" si="3"/>
        <v/>
      </c>
      <c r="K85" s="430" t="str">
        <f t="shared" si="3"/>
        <v/>
      </c>
      <c r="L85" s="430" t="str">
        <f t="shared" si="3"/>
        <v/>
      </c>
    </row>
    <row r="86" spans="1:12">
      <c r="B86" s="431"/>
      <c r="C86" s="431"/>
      <c r="D86" s="431"/>
      <c r="E86" s="431"/>
      <c r="F86" s="431"/>
    </row>
    <row r="87" spans="1:12">
      <c r="A87" s="501" t="s">
        <v>910</v>
      </c>
      <c r="B87" s="502"/>
      <c r="C87" s="147">
        <f>COUNT(B51:L85)</f>
        <v>4</v>
      </c>
    </row>
    <row r="88" spans="1:12">
      <c r="B88" s="432"/>
      <c r="C88" s="432"/>
      <c r="D88" s="432"/>
      <c r="E88" s="432"/>
    </row>
    <row r="92" spans="1:12">
      <c r="A92" s="433" t="s">
        <v>911</v>
      </c>
      <c r="D92" s="147">
        <f>AVERAGE(B51:L85)</f>
        <v>-3.2212937368615906</v>
      </c>
    </row>
    <row r="93" spans="1:12">
      <c r="E93" s="432"/>
    </row>
    <row r="98" spans="1:5">
      <c r="D98" s="432"/>
    </row>
    <row r="102" spans="1:5">
      <c r="E102" s="147">
        <f>VAR(B51:L85)</f>
        <v>0.9630170081234084</v>
      </c>
    </row>
    <row r="103" spans="1:5">
      <c r="A103" s="434" t="s">
        <v>912</v>
      </c>
    </row>
    <row r="108" spans="1:5">
      <c r="A108" s="434" t="s">
        <v>913</v>
      </c>
      <c r="C108" s="147">
        <f>3</f>
        <v>3</v>
      </c>
    </row>
    <row r="110" spans="1:5">
      <c r="A110" s="434" t="s">
        <v>914</v>
      </c>
    </row>
    <row r="114" spans="1:6">
      <c r="A114" s="503" t="s">
        <v>915</v>
      </c>
      <c r="B114" s="503"/>
      <c r="C114" s="503"/>
      <c r="F114" s="147">
        <f>EXP(4*E102)+2*EXP(3*E102)+3*EXP(2*E102)-3</f>
        <v>100.62955394988151</v>
      </c>
    </row>
    <row r="117" spans="1:6">
      <c r="A117" s="496" t="s">
        <v>916</v>
      </c>
      <c r="B117" s="496"/>
      <c r="C117" s="496"/>
      <c r="F117" s="147">
        <f>C108*(EXP(E102)-1)^2</f>
        <v>7.8691947141487741</v>
      </c>
    </row>
    <row r="121" spans="1:6">
      <c r="C121" s="435">
        <f>F114/F117+3*(1-1/C108)</f>
        <v>14.787782944162007</v>
      </c>
    </row>
    <row r="124" spans="1:6">
      <c r="A124" s="434" t="s">
        <v>917</v>
      </c>
    </row>
    <row r="125" spans="1:6">
      <c r="F125" s="436">
        <f>SQRT(EXP(E102)-1)*(EXP(E102)+2)/SQRT(C108)</f>
        <v>3.3942581167618164</v>
      </c>
    </row>
    <row r="128" spans="1:6">
      <c r="A128" s="504" t="s">
        <v>918</v>
      </c>
      <c r="B128" s="496"/>
      <c r="C128" s="496"/>
      <c r="D128" s="496"/>
    </row>
    <row r="130" spans="1:11">
      <c r="A130" s="434" t="s">
        <v>919</v>
      </c>
      <c r="E130" s="147" t="s">
        <v>920</v>
      </c>
    </row>
    <row r="133" spans="1:11">
      <c r="A133" s="505" t="s">
        <v>921</v>
      </c>
      <c r="B133" s="503"/>
      <c r="C133" s="503"/>
      <c r="D133" s="503"/>
      <c r="E133" s="503"/>
      <c r="F133" s="503"/>
      <c r="G133" s="503"/>
      <c r="H133" s="503"/>
      <c r="I133" s="503"/>
    </row>
    <row r="134" spans="1:11">
      <c r="A134" s="496"/>
      <c r="B134" s="496"/>
      <c r="C134" s="496"/>
      <c r="D134" s="496"/>
      <c r="E134" s="496"/>
    </row>
    <row r="136" spans="1:11">
      <c r="A136" s="505" t="s">
        <v>922</v>
      </c>
      <c r="B136" s="503"/>
      <c r="C136" s="503"/>
      <c r="D136" s="503"/>
      <c r="E136" s="503"/>
      <c r="F136" s="496"/>
      <c r="G136" s="496"/>
      <c r="H136" s="496"/>
      <c r="I136" s="496"/>
      <c r="J136" s="437">
        <v>3.484</v>
      </c>
      <c r="K136" s="434" t="s">
        <v>923</v>
      </c>
    </row>
    <row r="138" spans="1:11">
      <c r="A138" s="505" t="s">
        <v>924</v>
      </c>
      <c r="B138" s="503"/>
      <c r="C138" s="503"/>
    </row>
    <row r="146" spans="1:5">
      <c r="A146" s="147" t="s">
        <v>925</v>
      </c>
      <c r="D146" s="147">
        <f>EXP(D92+E102/2)</f>
        <v>6.458421597503973E-2</v>
      </c>
    </row>
    <row r="149" spans="1:5">
      <c r="A149" s="147" t="s">
        <v>926</v>
      </c>
      <c r="D149" s="147">
        <f>EXP(2*D92+E102)</f>
        <v>4.171120953110577E-3</v>
      </c>
    </row>
    <row r="153" spans="1:5">
      <c r="A153" s="147" t="s">
        <v>927</v>
      </c>
      <c r="D153" s="147">
        <f>EXP(E102)-1</f>
        <v>1.6195878811340427</v>
      </c>
    </row>
    <row r="157" spans="1:5">
      <c r="A157" s="147" t="s">
        <v>928</v>
      </c>
      <c r="E157" s="147">
        <f>(E102)/C87+(E102^2)/(2*(C87-1))</f>
        <v>0.39532121168667889</v>
      </c>
    </row>
    <row r="161" spans="1:8">
      <c r="A161" s="147" t="s">
        <v>929</v>
      </c>
      <c r="H161" s="147">
        <f>SQRT(C108*D149*D153+C108^2*D149*E157)</f>
        <v>0.18736831146884156</v>
      </c>
    </row>
    <row r="165" spans="1:8">
      <c r="A165" s="147" t="s">
        <v>930</v>
      </c>
      <c r="D165" s="438">
        <f>D146+(J136/C108)*H161</f>
        <v>0.28218128169418771</v>
      </c>
      <c r="E165" s="439"/>
    </row>
    <row r="170" spans="1:8">
      <c r="A170" s="396"/>
      <c r="B170" s="440"/>
    </row>
  </sheetData>
  <mergeCells count="11">
    <mergeCell ref="A128:D128"/>
    <mergeCell ref="A133:I133"/>
    <mergeCell ref="A134:E134"/>
    <mergeCell ref="A136:I136"/>
    <mergeCell ref="A138:C138"/>
    <mergeCell ref="A117:C117"/>
    <mergeCell ref="B1:L1"/>
    <mergeCell ref="A38:D38"/>
    <mergeCell ref="B49:L49"/>
    <mergeCell ref="A87:B87"/>
    <mergeCell ref="A114:C114"/>
  </mergeCells>
  <pageMargins left="0.7" right="0.7" top="0.75" bottom="0.75" header="0.3" footer="0.3"/>
  <pageSetup scale="44" fitToHeight="2" orientation="landscape" r:id="rId1"/>
  <headerFooter>
    <oddFooter>&amp;L&amp;F&amp;C&amp;A&amp;R&amp;D</oddFooter>
  </headerFooter>
  <legacyDrawing r:id="rId2"/>
  <oleObjects>
    <oleObject progId="Equation.DSMT4" shapeId="66561" r:id="rId3"/>
    <oleObject progId="Equation.DSMT4" shapeId="66562" r:id="rId4"/>
    <oleObject progId="Equation.DSMT4" shapeId="66563" r:id="rId5"/>
    <oleObject progId="Equation.DSMT4" shapeId="66564" r:id="rId6"/>
    <oleObject progId="Equation.DSMT4" shapeId="66565" r:id="rId7"/>
    <oleObject progId="Equation.DSMT4" shapeId="66566" r:id="rId8"/>
    <oleObject progId="Equation.DSMT4" shapeId="66567" r:id="rId9"/>
    <oleObject progId="Equation.DSMT4" shapeId="66568" r:id="rId10"/>
    <oleObject progId="Equation.DSMT4" shapeId="66569" r:id="rId11"/>
    <oleObject progId="Equation.DSMT4" shapeId="66570" r:id="rId12"/>
    <oleObject progId="Equation.DSMT4" shapeId="66571" r:id="rId13"/>
    <oleObject progId="Equation.DSMT4" shapeId="66572" r:id="rId14"/>
    <oleObject progId="Equation.DSMT4" shapeId="66573" r:id="rId15"/>
    <oleObject progId="Equation.DSMT4" shapeId="66574" r:id="rId16"/>
    <oleObject progId="Equation.DSMT4" shapeId="66575" r:id="rId17"/>
  </oleObjects>
</worksheet>
</file>

<file path=xl/worksheets/sheet3.xml><?xml version="1.0" encoding="utf-8"?>
<worksheet xmlns="http://schemas.openxmlformats.org/spreadsheetml/2006/main" xmlns:r="http://schemas.openxmlformats.org/officeDocument/2006/relationships">
  <sheetPr>
    <tabColor rgb="FF00B050"/>
  </sheetPr>
  <dimension ref="A1:O127"/>
  <sheetViews>
    <sheetView tabSelected="1" zoomScaleNormal="100" workbookViewId="0"/>
  </sheetViews>
  <sheetFormatPr defaultRowHeight="15"/>
  <cols>
    <col min="1" max="1" width="14.42578125" customWidth="1"/>
    <col min="2" max="2" width="20.140625" customWidth="1"/>
    <col min="3" max="3" width="14.7109375" customWidth="1"/>
    <col min="4" max="4" width="37.5703125" customWidth="1"/>
    <col min="5" max="5" width="18.85546875" bestFit="1" customWidth="1"/>
  </cols>
  <sheetData>
    <row r="1" spans="1:12">
      <c r="A1" s="31"/>
      <c r="B1" s="466" t="s">
        <v>24</v>
      </c>
      <c r="C1" s="467"/>
      <c r="D1" s="467"/>
      <c r="E1" s="467"/>
      <c r="F1" s="468"/>
      <c r="G1" s="468"/>
      <c r="H1" s="468"/>
      <c r="I1" s="468"/>
      <c r="J1" s="468"/>
      <c r="K1" s="468"/>
      <c r="L1" s="469"/>
    </row>
    <row r="2" spans="1:12" ht="39">
      <c r="A2" s="32" t="s">
        <v>0</v>
      </c>
      <c r="B2" s="2" t="s">
        <v>178</v>
      </c>
      <c r="C2" s="2"/>
      <c r="D2" s="3"/>
      <c r="E2" s="2"/>
      <c r="F2" s="2"/>
      <c r="G2" s="2"/>
      <c r="H2" s="2"/>
      <c r="I2" s="33"/>
      <c r="J2" s="33"/>
      <c r="K2" s="33"/>
      <c r="L2" s="33"/>
    </row>
    <row r="3" spans="1:12">
      <c r="A3" s="17">
        <v>1</v>
      </c>
      <c r="B3" s="361">
        <v>1.350210970464135E-2</v>
      </c>
      <c r="C3" s="34"/>
      <c r="D3" s="4"/>
      <c r="E3" s="5"/>
      <c r="F3" s="5"/>
      <c r="G3" s="5"/>
      <c r="H3" s="5"/>
      <c r="I3" s="35"/>
      <c r="J3" s="35"/>
      <c r="K3" s="35"/>
      <c r="L3" s="36"/>
    </row>
    <row r="4" spans="1:12">
      <c r="A4" s="18">
        <v>2</v>
      </c>
      <c r="B4" s="362">
        <v>2.2888757147700424E-2</v>
      </c>
      <c r="C4" s="37"/>
      <c r="D4" s="4"/>
      <c r="E4" s="5"/>
      <c r="F4" s="5"/>
      <c r="G4" s="5"/>
      <c r="H4" s="5"/>
      <c r="I4" s="19"/>
      <c r="J4" s="19"/>
      <c r="K4" s="19"/>
      <c r="L4" s="21"/>
    </row>
    <row r="5" spans="1:12">
      <c r="A5" s="18">
        <v>3</v>
      </c>
      <c r="B5" s="362">
        <v>7.5949367088607597E-2</v>
      </c>
      <c r="C5" s="38"/>
      <c r="D5" s="5"/>
      <c r="E5" s="5"/>
      <c r="F5" s="5"/>
      <c r="G5" s="5"/>
      <c r="H5" s="5"/>
      <c r="I5" s="20"/>
      <c r="J5" s="20"/>
      <c r="K5" s="19"/>
      <c r="L5" s="21"/>
    </row>
    <row r="6" spans="1:12">
      <c r="A6" s="18">
        <v>4</v>
      </c>
      <c r="B6" s="362">
        <v>0.10801687763713079</v>
      </c>
      <c r="C6" s="5"/>
      <c r="D6" s="20"/>
      <c r="E6" s="20"/>
      <c r="F6" s="20"/>
      <c r="G6" s="20"/>
      <c r="H6" s="20"/>
      <c r="I6" s="20"/>
      <c r="J6" s="20"/>
      <c r="K6" s="19"/>
      <c r="L6" s="21"/>
    </row>
    <row r="7" spans="1:12">
      <c r="A7" s="18">
        <v>5</v>
      </c>
      <c r="B7" s="29"/>
      <c r="C7" s="7"/>
      <c r="D7" s="20"/>
      <c r="E7" s="20"/>
      <c r="F7" s="20"/>
      <c r="G7" s="20"/>
      <c r="H7" s="20"/>
      <c r="I7" s="20"/>
      <c r="J7" s="20"/>
      <c r="K7" s="19"/>
      <c r="L7" s="21"/>
    </row>
    <row r="8" spans="1:12">
      <c r="A8" s="18">
        <v>6</v>
      </c>
      <c r="B8" s="29"/>
      <c r="C8" s="7"/>
      <c r="D8" s="20"/>
      <c r="E8" s="20"/>
      <c r="F8" s="20"/>
      <c r="G8" s="20"/>
      <c r="H8" s="20"/>
      <c r="I8" s="20"/>
      <c r="J8" s="20"/>
      <c r="K8" s="19"/>
      <c r="L8" s="21"/>
    </row>
    <row r="9" spans="1:12">
      <c r="A9" s="18">
        <v>7</v>
      </c>
      <c r="B9" s="6"/>
      <c r="C9" s="7"/>
      <c r="D9" s="20"/>
      <c r="E9" s="20"/>
      <c r="F9" s="20"/>
      <c r="G9" s="20"/>
      <c r="H9" s="20"/>
      <c r="I9" s="20"/>
      <c r="J9" s="20"/>
      <c r="K9" s="19"/>
      <c r="L9" s="21"/>
    </row>
    <row r="10" spans="1:12">
      <c r="A10" s="18">
        <v>8</v>
      </c>
      <c r="B10" s="6"/>
      <c r="C10" s="6"/>
      <c r="D10" s="19"/>
      <c r="E10" s="19"/>
      <c r="F10" s="19"/>
      <c r="G10" s="19"/>
      <c r="H10" s="19"/>
      <c r="I10" s="19"/>
      <c r="J10" s="19"/>
      <c r="K10" s="19"/>
      <c r="L10" s="21"/>
    </row>
    <row r="11" spans="1:12">
      <c r="A11" s="18">
        <v>9</v>
      </c>
      <c r="B11" s="6"/>
      <c r="C11" s="6"/>
      <c r="D11" s="19"/>
      <c r="E11" s="19"/>
      <c r="F11" s="19"/>
      <c r="G11" s="19"/>
      <c r="H11" s="19"/>
      <c r="I11" s="19"/>
      <c r="J11" s="19"/>
      <c r="K11" s="19"/>
      <c r="L11" s="21"/>
    </row>
    <row r="12" spans="1:12">
      <c r="A12" s="18">
        <v>10</v>
      </c>
      <c r="B12" s="6"/>
      <c r="C12" s="6"/>
      <c r="D12" s="19"/>
      <c r="E12" s="19"/>
      <c r="F12" s="19"/>
      <c r="G12" s="19"/>
      <c r="H12" s="19"/>
      <c r="I12" s="19"/>
      <c r="J12" s="19"/>
      <c r="K12" s="19"/>
      <c r="L12" s="21"/>
    </row>
    <row r="13" spans="1:12">
      <c r="A13" s="18">
        <v>11</v>
      </c>
      <c r="B13" s="6"/>
      <c r="C13" s="6"/>
      <c r="D13" s="19"/>
      <c r="E13" s="19"/>
      <c r="F13" s="19"/>
      <c r="G13" s="19"/>
      <c r="H13" s="19"/>
      <c r="I13" s="19"/>
      <c r="J13" s="19"/>
      <c r="K13" s="19"/>
      <c r="L13" s="21"/>
    </row>
    <row r="14" spans="1:12">
      <c r="A14" s="18">
        <v>12</v>
      </c>
      <c r="B14" s="6"/>
      <c r="C14" s="6"/>
      <c r="D14" s="19"/>
      <c r="E14" s="19"/>
      <c r="F14" s="19"/>
      <c r="G14" s="19"/>
      <c r="H14" s="19"/>
      <c r="I14" s="19"/>
      <c r="J14" s="19"/>
      <c r="K14" s="19"/>
      <c r="L14" s="21"/>
    </row>
    <row r="15" spans="1:12">
      <c r="A15" s="18">
        <v>13</v>
      </c>
      <c r="B15" s="6"/>
      <c r="C15" s="6"/>
      <c r="D15" s="19"/>
      <c r="E15" s="19"/>
      <c r="F15" s="19"/>
      <c r="G15" s="19"/>
      <c r="H15" s="19"/>
      <c r="I15" s="19"/>
      <c r="J15" s="19"/>
      <c r="K15" s="19"/>
      <c r="L15" s="21"/>
    </row>
    <row r="16" spans="1:12">
      <c r="A16" s="18">
        <v>14</v>
      </c>
      <c r="B16" s="6"/>
      <c r="C16" s="6"/>
      <c r="D16" s="19"/>
      <c r="E16" s="19"/>
      <c r="F16" s="19"/>
      <c r="G16" s="19"/>
      <c r="H16" s="19"/>
      <c r="I16" s="19"/>
      <c r="J16" s="19"/>
      <c r="K16" s="19"/>
      <c r="L16" s="21"/>
    </row>
    <row r="17" spans="1:12">
      <c r="A17" s="18">
        <v>15</v>
      </c>
      <c r="B17" s="19"/>
      <c r="C17" s="19"/>
      <c r="D17" s="19"/>
      <c r="E17" s="19"/>
      <c r="F17" s="19"/>
      <c r="G17" s="19"/>
      <c r="H17" s="19"/>
      <c r="I17" s="19"/>
      <c r="J17" s="19"/>
      <c r="K17" s="19"/>
      <c r="L17" s="21"/>
    </row>
    <row r="18" spans="1:12">
      <c r="A18" s="18">
        <v>16</v>
      </c>
      <c r="B18" s="19"/>
      <c r="C18" s="19"/>
      <c r="D18" s="19"/>
      <c r="E18" s="19"/>
      <c r="F18" s="19"/>
      <c r="G18" s="19"/>
      <c r="H18" s="19"/>
      <c r="I18" s="19"/>
      <c r="J18" s="19"/>
      <c r="K18" s="19"/>
      <c r="L18" s="21"/>
    </row>
    <row r="19" spans="1:12">
      <c r="A19" s="18">
        <v>17</v>
      </c>
      <c r="B19" s="19"/>
      <c r="C19" s="19"/>
      <c r="D19" s="19"/>
      <c r="E19" s="19"/>
      <c r="F19" s="19"/>
      <c r="G19" s="19"/>
      <c r="H19" s="19"/>
      <c r="I19" s="19"/>
      <c r="J19" s="19"/>
      <c r="K19" s="19"/>
      <c r="L19" s="21"/>
    </row>
    <row r="20" spans="1:12">
      <c r="A20" s="18">
        <v>18</v>
      </c>
      <c r="B20" s="19"/>
      <c r="C20" s="19"/>
      <c r="D20" s="19"/>
      <c r="E20" s="19"/>
      <c r="F20" s="19"/>
      <c r="G20" s="19"/>
      <c r="H20" s="19"/>
      <c r="I20" s="19"/>
      <c r="J20" s="19"/>
      <c r="K20" s="19"/>
      <c r="L20" s="21"/>
    </row>
    <row r="21" spans="1:12">
      <c r="A21" s="18">
        <v>19</v>
      </c>
      <c r="B21" s="19"/>
      <c r="C21" s="19"/>
      <c r="D21" s="19"/>
      <c r="E21" s="19"/>
      <c r="F21" s="19"/>
      <c r="G21" s="19"/>
      <c r="H21" s="19"/>
      <c r="I21" s="19"/>
      <c r="J21" s="19"/>
      <c r="K21" s="19"/>
      <c r="L21" s="21"/>
    </row>
    <row r="22" spans="1:12">
      <c r="A22" s="18">
        <v>20</v>
      </c>
      <c r="B22" s="19"/>
      <c r="C22" s="19"/>
      <c r="D22" s="19"/>
      <c r="E22" s="19"/>
      <c r="F22" s="19"/>
      <c r="G22" s="19"/>
      <c r="H22" s="19"/>
      <c r="I22" s="19"/>
      <c r="J22" s="19"/>
      <c r="K22" s="19"/>
      <c r="L22" s="21"/>
    </row>
    <row r="23" spans="1:12">
      <c r="A23" s="18">
        <v>21</v>
      </c>
      <c r="B23" s="19"/>
      <c r="C23" s="19"/>
      <c r="D23" s="19"/>
      <c r="E23" s="19"/>
      <c r="F23" s="19"/>
      <c r="G23" s="19"/>
      <c r="H23" s="19"/>
      <c r="I23" s="19"/>
      <c r="J23" s="19"/>
      <c r="K23" s="19"/>
      <c r="L23" s="21"/>
    </row>
    <row r="24" spans="1:12">
      <c r="A24" s="18">
        <v>22</v>
      </c>
      <c r="B24" s="19"/>
      <c r="C24" s="19"/>
      <c r="D24" s="19"/>
      <c r="E24" s="19"/>
      <c r="F24" s="19"/>
      <c r="G24" s="19"/>
      <c r="H24" s="19"/>
      <c r="I24" s="19"/>
      <c r="J24" s="19"/>
      <c r="K24" s="19"/>
      <c r="L24" s="21"/>
    </row>
    <row r="25" spans="1:12">
      <c r="A25" s="18">
        <v>23</v>
      </c>
      <c r="B25" s="19"/>
      <c r="C25" s="19"/>
      <c r="D25" s="19"/>
      <c r="E25" s="19"/>
      <c r="F25" s="19"/>
      <c r="G25" s="19"/>
      <c r="H25" s="19"/>
      <c r="I25" s="19"/>
      <c r="J25" s="19"/>
      <c r="K25" s="19"/>
      <c r="L25" s="21"/>
    </row>
    <row r="26" spans="1:12">
      <c r="A26" s="18">
        <v>24</v>
      </c>
      <c r="B26" s="19"/>
      <c r="C26" s="19"/>
      <c r="D26" s="19"/>
      <c r="E26" s="19"/>
      <c r="F26" s="19"/>
      <c r="G26" s="19"/>
      <c r="H26" s="19"/>
      <c r="I26" s="19"/>
      <c r="J26" s="19"/>
      <c r="K26" s="19"/>
      <c r="L26" s="21"/>
    </row>
    <row r="27" spans="1:12">
      <c r="A27" s="18">
        <v>25</v>
      </c>
      <c r="B27" s="19"/>
      <c r="C27" s="19"/>
      <c r="D27" s="19"/>
      <c r="E27" s="19"/>
      <c r="F27" s="19"/>
      <c r="G27" s="19"/>
      <c r="H27" s="19"/>
      <c r="I27" s="19"/>
      <c r="J27" s="19"/>
      <c r="K27" s="19"/>
      <c r="L27" s="21"/>
    </row>
    <row r="28" spans="1:12">
      <c r="A28" s="18">
        <v>26</v>
      </c>
      <c r="B28" s="19"/>
      <c r="C28" s="19"/>
      <c r="D28" s="19"/>
      <c r="E28" s="19"/>
      <c r="F28" s="19"/>
      <c r="G28" s="19"/>
      <c r="H28" s="19"/>
      <c r="I28" s="19"/>
      <c r="J28" s="19"/>
      <c r="K28" s="19"/>
      <c r="L28" s="21"/>
    </row>
    <row r="29" spans="1:12">
      <c r="A29" s="18">
        <v>27</v>
      </c>
      <c r="B29" s="19"/>
      <c r="C29" s="19"/>
      <c r="D29" s="19"/>
      <c r="E29" s="19"/>
      <c r="F29" s="19"/>
      <c r="G29" s="19"/>
      <c r="H29" s="19"/>
      <c r="I29" s="19"/>
      <c r="J29" s="19"/>
      <c r="K29" s="19"/>
      <c r="L29" s="21"/>
    </row>
    <row r="30" spans="1:12">
      <c r="A30" s="18">
        <v>28</v>
      </c>
      <c r="B30" s="19"/>
      <c r="C30" s="19"/>
      <c r="D30" s="19"/>
      <c r="E30" s="19"/>
      <c r="F30" s="19"/>
      <c r="G30" s="19"/>
      <c r="H30" s="19"/>
      <c r="I30" s="19"/>
      <c r="J30" s="19"/>
      <c r="K30" s="19"/>
      <c r="L30" s="21"/>
    </row>
    <row r="31" spans="1:12">
      <c r="A31" s="18">
        <v>29</v>
      </c>
      <c r="B31" s="19"/>
      <c r="C31" s="19"/>
      <c r="D31" s="19"/>
      <c r="E31" s="19"/>
      <c r="F31" s="19"/>
      <c r="G31" s="19"/>
      <c r="H31" s="19"/>
      <c r="I31" s="19"/>
      <c r="J31" s="19"/>
      <c r="K31" s="19"/>
      <c r="L31" s="22"/>
    </row>
    <row r="32" spans="1:12">
      <c r="A32" s="18">
        <v>30</v>
      </c>
      <c r="B32" s="19"/>
      <c r="C32" s="19"/>
      <c r="D32" s="19"/>
      <c r="E32" s="19"/>
      <c r="F32" s="19"/>
      <c r="G32" s="19"/>
      <c r="H32" s="19"/>
      <c r="I32" s="19"/>
      <c r="J32" s="19"/>
      <c r="K32" s="19"/>
      <c r="L32" s="22"/>
    </row>
    <row r="33" spans="1:15">
      <c r="A33" s="18">
        <v>31</v>
      </c>
      <c r="B33" s="19"/>
      <c r="C33" s="19"/>
      <c r="D33" s="19"/>
      <c r="E33" s="19"/>
      <c r="F33" s="19"/>
      <c r="G33" s="19"/>
      <c r="H33" s="19"/>
      <c r="I33" s="19"/>
      <c r="J33" s="19"/>
      <c r="K33" s="19"/>
      <c r="L33" s="22"/>
    </row>
    <row r="34" spans="1:15">
      <c r="A34" s="18">
        <v>32</v>
      </c>
      <c r="B34" s="19"/>
      <c r="C34" s="19"/>
      <c r="D34" s="19"/>
      <c r="E34" s="19"/>
      <c r="F34" s="19"/>
      <c r="G34" s="19"/>
      <c r="H34" s="19"/>
      <c r="I34" s="19"/>
      <c r="J34" s="19"/>
      <c r="K34" s="19"/>
      <c r="L34" s="22"/>
    </row>
    <row r="35" spans="1:15">
      <c r="A35" s="18">
        <v>33</v>
      </c>
      <c r="B35" s="20"/>
      <c r="C35" s="20"/>
      <c r="D35" s="20"/>
      <c r="E35" s="20"/>
      <c r="F35" s="20"/>
      <c r="G35" s="20"/>
      <c r="H35" s="20"/>
      <c r="I35" s="20"/>
      <c r="J35" s="20"/>
      <c r="K35" s="19"/>
      <c r="L35" s="22"/>
    </row>
    <row r="36" spans="1:15">
      <c r="A36" s="18">
        <v>34</v>
      </c>
      <c r="B36" s="20"/>
      <c r="C36" s="20"/>
      <c r="D36" s="20"/>
      <c r="E36" s="20"/>
      <c r="F36" s="20"/>
      <c r="G36" s="20"/>
      <c r="H36" s="20"/>
      <c r="I36" s="20"/>
      <c r="J36" s="20"/>
      <c r="K36" s="19"/>
      <c r="L36" s="22"/>
    </row>
    <row r="37" spans="1:15">
      <c r="A37" s="18">
        <v>35</v>
      </c>
      <c r="B37" s="23"/>
      <c r="C37" s="23"/>
      <c r="D37" s="23"/>
      <c r="E37" s="23"/>
      <c r="F37" s="23"/>
      <c r="G37" s="23"/>
      <c r="H37" s="23"/>
      <c r="I37" s="23"/>
      <c r="J37" s="23"/>
      <c r="K37" s="24"/>
      <c r="L37" s="25"/>
    </row>
    <row r="39" spans="1:15">
      <c r="A39" s="26" t="s">
        <v>1</v>
      </c>
      <c r="B39" s="27" t="s">
        <v>2</v>
      </c>
      <c r="C39" s="27"/>
    </row>
    <row r="40" spans="1:15">
      <c r="A40" s="26" t="s">
        <v>3</v>
      </c>
      <c r="B40" s="28">
        <f>COUNT(B3:L37)</f>
        <v>4</v>
      </c>
      <c r="C40" s="28"/>
    </row>
    <row r="41" spans="1:15">
      <c r="A41" s="26" t="s">
        <v>4</v>
      </c>
      <c r="B41" s="63">
        <f>KURT(B3:L37)</f>
        <v>-3.423662562692245</v>
      </c>
      <c r="C41" s="28"/>
      <c r="E41" s="470" t="s">
        <v>142</v>
      </c>
      <c r="F41" s="470"/>
      <c r="G41" s="470"/>
      <c r="H41" s="470"/>
      <c r="I41" s="470"/>
      <c r="J41" s="470"/>
      <c r="K41" s="470"/>
      <c r="L41" s="470"/>
      <c r="M41" s="470"/>
      <c r="N41" s="470"/>
      <c r="O41" s="470"/>
    </row>
    <row r="42" spans="1:15">
      <c r="A42" s="26" t="s">
        <v>5</v>
      </c>
      <c r="B42" s="28">
        <f>SQRT((B40^2-1)/((B40-3)*(B40+5)))</f>
        <v>1.2909944487358056</v>
      </c>
      <c r="C42" s="28"/>
    </row>
    <row r="43" spans="1:15">
      <c r="A43" s="26" t="s">
        <v>6</v>
      </c>
      <c r="B43" s="28" t="str">
        <f>IF(ABS(B41/B42)&gt;NORMSINV(1-0.05/2),"non normal","normal")</f>
        <v>non normal</v>
      </c>
      <c r="C43" s="28"/>
    </row>
    <row r="44" spans="1:15">
      <c r="A44" s="26" t="s">
        <v>7</v>
      </c>
      <c r="B44" s="62">
        <f>SKEW(B3:L37)</f>
        <v>0.38755049291912408</v>
      </c>
      <c r="C44" s="28"/>
    </row>
    <row r="45" spans="1:15">
      <c r="A45" s="26" t="s">
        <v>8</v>
      </c>
      <c r="B45" s="28">
        <f>SQRT((6*B40*(B40-1))/((B40-2)*(B40+1)*(B40+3)))</f>
        <v>1.0141851056742199</v>
      </c>
      <c r="C45" s="28"/>
      <c r="D45" s="39" t="s">
        <v>25</v>
      </c>
    </row>
    <row r="46" spans="1:15">
      <c r="A46" s="26" t="s">
        <v>9</v>
      </c>
      <c r="B46" s="28" t="str">
        <f>IF(ABS(B44/B45)&gt;NORMSINV(1-0.05/2),"non normal","normal")</f>
        <v>normal</v>
      </c>
      <c r="C46" s="28"/>
      <c r="D46" s="40" t="str">
        <f>IF(AND(B43="normal", B46="normal"),"normal", "non normal")</f>
        <v>non normal</v>
      </c>
    </row>
    <row r="48" spans="1:15">
      <c r="A48" s="8" t="s">
        <v>10</v>
      </c>
      <c r="B48" s="9">
        <f>COUNT(B3:B37)</f>
        <v>4</v>
      </c>
      <c r="C48" s="9">
        <f t="shared" ref="C48:L48" si="0">COUNT(C3:C37)</f>
        <v>0</v>
      </c>
      <c r="D48" s="9">
        <f t="shared" si="0"/>
        <v>0</v>
      </c>
      <c r="E48" s="9">
        <f t="shared" si="0"/>
        <v>0</v>
      </c>
      <c r="F48" s="9">
        <f t="shared" si="0"/>
        <v>0</v>
      </c>
      <c r="G48" s="9">
        <f t="shared" si="0"/>
        <v>0</v>
      </c>
      <c r="H48" s="9">
        <f t="shared" si="0"/>
        <v>0</v>
      </c>
      <c r="I48" s="9">
        <f t="shared" si="0"/>
        <v>0</v>
      </c>
      <c r="J48" s="9">
        <f t="shared" si="0"/>
        <v>0</v>
      </c>
      <c r="K48" s="9">
        <f t="shared" si="0"/>
        <v>0</v>
      </c>
      <c r="L48" s="9">
        <f t="shared" si="0"/>
        <v>0</v>
      </c>
    </row>
    <row r="49" spans="1:12">
      <c r="A49" s="9"/>
      <c r="B49" s="9"/>
      <c r="C49" s="9"/>
      <c r="D49" s="9"/>
      <c r="E49" s="9"/>
      <c r="F49" s="9"/>
      <c r="G49" s="9"/>
      <c r="H49" s="9"/>
      <c r="I49" s="9"/>
      <c r="J49" s="9"/>
      <c r="K49" s="9"/>
      <c r="L49" s="9"/>
    </row>
    <row r="50" spans="1:12">
      <c r="A50" s="8" t="s">
        <v>11</v>
      </c>
      <c r="B50" s="10">
        <f>COUNTA(B2:L2)</f>
        <v>1</v>
      </c>
      <c r="C50" s="9"/>
      <c r="D50" s="9"/>
      <c r="E50" s="9"/>
      <c r="F50" s="9"/>
      <c r="G50" s="9"/>
      <c r="H50" s="9"/>
      <c r="I50" s="9"/>
      <c r="J50" s="9"/>
      <c r="K50" s="9"/>
      <c r="L50" s="9"/>
    </row>
    <row r="51" spans="1:12">
      <c r="A51" s="9"/>
      <c r="B51" s="9"/>
      <c r="C51" s="9"/>
      <c r="D51" s="9"/>
      <c r="E51" s="9"/>
      <c r="F51" s="9"/>
      <c r="G51" s="9"/>
      <c r="H51" s="9"/>
      <c r="I51" s="9"/>
      <c r="J51" s="9"/>
      <c r="K51" s="9"/>
      <c r="L51" s="9"/>
    </row>
    <row r="52" spans="1:12">
      <c r="A52" s="9"/>
      <c r="B52" s="9"/>
      <c r="C52" s="9"/>
      <c r="D52" s="9"/>
      <c r="E52" s="9"/>
      <c r="F52" s="9"/>
      <c r="G52" s="9"/>
      <c r="H52" s="9"/>
      <c r="I52" s="11"/>
      <c r="J52" s="11"/>
      <c r="K52" s="1"/>
      <c r="L52" s="1"/>
    </row>
    <row r="53" spans="1:12">
      <c r="A53" s="8" t="s">
        <v>12</v>
      </c>
      <c r="B53" s="9">
        <f>SUM(B48:L48)</f>
        <v>4</v>
      </c>
      <c r="C53" s="9"/>
      <c r="D53" s="9"/>
      <c r="E53" s="9"/>
      <c r="F53" s="9"/>
      <c r="G53" s="9"/>
      <c r="H53" s="9"/>
      <c r="I53" s="9"/>
      <c r="J53" s="9"/>
      <c r="K53" s="1"/>
      <c r="L53" s="1"/>
    </row>
    <row r="54" spans="1:12">
      <c r="A54" s="9"/>
      <c r="B54" s="9"/>
      <c r="C54" s="9"/>
      <c r="D54" s="9"/>
      <c r="E54" s="9"/>
      <c r="F54" s="9"/>
      <c r="G54" s="9"/>
      <c r="H54" s="9"/>
      <c r="I54" s="9"/>
      <c r="J54" s="9"/>
      <c r="K54" s="1"/>
      <c r="L54" s="1"/>
    </row>
    <row r="55" spans="1:12">
      <c r="A55" s="9"/>
      <c r="B55" s="9"/>
      <c r="C55" s="9"/>
      <c r="D55" s="9"/>
      <c r="E55" s="9"/>
      <c r="F55" s="9"/>
      <c r="G55" s="9"/>
      <c r="H55" s="9"/>
      <c r="I55" s="9"/>
      <c r="J55" s="9"/>
      <c r="K55" s="1"/>
      <c r="L55" s="1"/>
    </row>
    <row r="56" spans="1:12">
      <c r="A56" s="9"/>
      <c r="B56" s="9"/>
      <c r="C56" s="9"/>
      <c r="D56" s="9"/>
      <c r="E56" s="9"/>
      <c r="F56" s="9"/>
      <c r="G56" s="9"/>
      <c r="H56" s="9"/>
      <c r="I56" s="11"/>
      <c r="J56" s="11"/>
      <c r="K56" s="1"/>
      <c r="L56" s="1"/>
    </row>
    <row r="57" spans="1:12">
      <c r="A57" s="9"/>
      <c r="B57" s="9"/>
      <c r="C57" s="9"/>
      <c r="D57" s="9"/>
      <c r="E57" s="9"/>
      <c r="F57" s="9"/>
      <c r="G57" s="9"/>
      <c r="H57" s="9"/>
      <c r="I57" s="11"/>
      <c r="J57" s="11"/>
      <c r="K57" s="1"/>
      <c r="L57" s="1"/>
    </row>
    <row r="58" spans="1:12">
      <c r="A58" s="9"/>
      <c r="B58" s="12">
        <f>B53-1</f>
        <v>3</v>
      </c>
      <c r="C58" s="9"/>
      <c r="D58" s="9"/>
      <c r="E58" s="9"/>
      <c r="F58" s="9"/>
      <c r="G58" s="9"/>
      <c r="H58" s="9"/>
      <c r="I58" s="11"/>
      <c r="J58" s="11"/>
      <c r="K58" s="1"/>
      <c r="L58" s="1"/>
    </row>
    <row r="59" spans="1:12">
      <c r="A59" s="9"/>
      <c r="B59" s="9"/>
      <c r="C59" s="9"/>
      <c r="D59" s="9"/>
      <c r="E59" s="9"/>
      <c r="F59" s="9"/>
      <c r="G59" s="9"/>
      <c r="H59" s="9"/>
      <c r="I59" s="11"/>
      <c r="J59" s="11"/>
      <c r="K59" s="1"/>
      <c r="L59" s="1"/>
    </row>
    <row r="60" spans="1:12">
      <c r="A60" s="9"/>
      <c r="B60" s="9"/>
      <c r="C60" s="9"/>
      <c r="D60" s="9"/>
      <c r="E60" s="9"/>
      <c r="F60" s="9"/>
      <c r="G60" s="9"/>
      <c r="H60" s="9"/>
      <c r="I60" s="11"/>
      <c r="J60" s="11"/>
      <c r="K60" s="1"/>
      <c r="L60" s="1"/>
    </row>
    <row r="61" spans="1:12">
      <c r="A61" s="9"/>
      <c r="B61" s="9"/>
      <c r="C61" s="9"/>
      <c r="D61" s="9"/>
      <c r="E61" s="9"/>
      <c r="F61" s="9"/>
      <c r="G61" s="9"/>
      <c r="H61" s="9"/>
      <c r="I61" s="11"/>
      <c r="J61" s="11"/>
      <c r="K61" s="1"/>
      <c r="L61" s="1"/>
    </row>
    <row r="62" spans="1:12">
      <c r="A62" s="9"/>
      <c r="B62" s="9"/>
      <c r="C62" s="9"/>
      <c r="D62" s="9"/>
      <c r="E62" s="9"/>
      <c r="F62" s="9"/>
      <c r="G62" s="13"/>
      <c r="H62" s="9"/>
      <c r="I62" s="11"/>
      <c r="J62" s="11"/>
      <c r="K62" s="1"/>
      <c r="L62" s="1"/>
    </row>
    <row r="63" spans="1:12">
      <c r="A63" s="8" t="s">
        <v>13</v>
      </c>
      <c r="B63" s="9"/>
      <c r="C63" s="9"/>
      <c r="D63" s="9"/>
      <c r="E63" s="9"/>
      <c r="F63" s="9"/>
      <c r="G63" s="9"/>
      <c r="H63" s="9"/>
      <c r="I63" s="11"/>
      <c r="J63" s="11"/>
      <c r="K63" s="1"/>
      <c r="L63" s="1"/>
    </row>
    <row r="64" spans="1:12">
      <c r="A64" s="9"/>
      <c r="B64" s="9"/>
      <c r="C64" s="9"/>
      <c r="D64" s="9"/>
      <c r="E64" s="9"/>
      <c r="F64" s="9"/>
      <c r="G64" s="9"/>
      <c r="H64" s="9"/>
      <c r="I64" s="11"/>
      <c r="J64" s="11"/>
      <c r="K64" s="1"/>
      <c r="L64" s="1"/>
    </row>
    <row r="65" spans="1:12">
      <c r="A65" s="9" t="s">
        <v>14</v>
      </c>
      <c r="B65" s="30">
        <f>AVERAGE(B3:B37)</f>
        <v>5.508927789452004E-2</v>
      </c>
      <c r="C65" s="30" t="e">
        <f t="shared" ref="C65:L65" si="1">AVERAGE(C3:C37)</f>
        <v>#DIV/0!</v>
      </c>
      <c r="D65" s="30" t="e">
        <f t="shared" si="1"/>
        <v>#DIV/0!</v>
      </c>
      <c r="E65" s="30" t="e">
        <f t="shared" si="1"/>
        <v>#DIV/0!</v>
      </c>
      <c r="F65" s="30" t="e">
        <f t="shared" si="1"/>
        <v>#DIV/0!</v>
      </c>
      <c r="G65" s="30" t="e">
        <f>AVERAGE(G3:G37)</f>
        <v>#DIV/0!</v>
      </c>
      <c r="H65" s="30" t="e">
        <f t="shared" si="1"/>
        <v>#DIV/0!</v>
      </c>
      <c r="I65" s="30" t="e">
        <f t="shared" si="1"/>
        <v>#DIV/0!</v>
      </c>
      <c r="J65" s="30" t="e">
        <f t="shared" si="1"/>
        <v>#DIV/0!</v>
      </c>
      <c r="K65" s="30" t="e">
        <f t="shared" si="1"/>
        <v>#DIV/0!</v>
      </c>
      <c r="L65" s="30" t="e">
        <f t="shared" si="1"/>
        <v>#DIV/0!</v>
      </c>
    </row>
    <row r="66" spans="1:12">
      <c r="A66" s="9"/>
      <c r="B66" s="9"/>
      <c r="C66" s="11"/>
      <c r="D66" s="9"/>
      <c r="E66" s="9"/>
      <c r="F66" s="9"/>
      <c r="G66" s="13"/>
      <c r="H66" s="9"/>
      <c r="I66" s="11"/>
      <c r="J66" s="9"/>
      <c r="K66" s="1"/>
      <c r="L66" s="1"/>
    </row>
    <row r="67" spans="1:12">
      <c r="A67" s="9"/>
      <c r="B67" s="9"/>
      <c r="C67" s="9"/>
      <c r="D67" s="9"/>
      <c r="E67" s="9"/>
      <c r="F67" s="9"/>
      <c r="G67" s="9"/>
      <c r="H67" s="9"/>
      <c r="I67" s="9"/>
      <c r="J67" s="9"/>
      <c r="K67" s="1"/>
      <c r="L67" s="1"/>
    </row>
    <row r="68" spans="1:12">
      <c r="A68" s="9"/>
      <c r="B68" s="9"/>
      <c r="C68" s="9"/>
      <c r="D68" s="9"/>
      <c r="E68" s="9"/>
      <c r="F68" s="9"/>
      <c r="G68" s="9"/>
      <c r="H68" s="9"/>
      <c r="I68" s="9"/>
      <c r="J68" s="9"/>
      <c r="K68" s="1"/>
      <c r="L68" s="1"/>
    </row>
    <row r="69" spans="1:12">
      <c r="A69" s="9"/>
      <c r="B69" s="13"/>
      <c r="C69" s="13"/>
      <c r="D69" s="13"/>
      <c r="E69" s="13"/>
      <c r="F69" s="13"/>
      <c r="G69" s="13"/>
      <c r="H69" s="13"/>
      <c r="I69" s="13"/>
      <c r="J69" s="13"/>
      <c r="K69" s="14"/>
      <c r="L69" s="1"/>
    </row>
    <row r="70" spans="1:12">
      <c r="A70" s="9"/>
      <c r="B70" s="9"/>
      <c r="C70" s="9"/>
      <c r="D70" s="9"/>
      <c r="E70" s="9"/>
      <c r="F70" s="9"/>
      <c r="G70" s="9"/>
      <c r="H70" s="9"/>
      <c r="I70" s="9"/>
      <c r="J70" s="9"/>
      <c r="K70" s="1"/>
      <c r="L70" s="1"/>
    </row>
    <row r="71" spans="1:12">
      <c r="A71" s="9"/>
      <c r="B71" s="9"/>
      <c r="C71" s="9"/>
      <c r="D71" s="9"/>
      <c r="E71" s="9"/>
      <c r="F71" s="9"/>
      <c r="G71" s="9"/>
      <c r="H71" s="9"/>
      <c r="I71" s="9"/>
      <c r="J71" s="9"/>
      <c r="K71" s="1"/>
      <c r="L71" s="1"/>
    </row>
    <row r="72" spans="1:12">
      <c r="A72" s="9"/>
      <c r="B72" s="13">
        <f>AVERAGE(B3:L37)</f>
        <v>5.508927789452004E-2</v>
      </c>
      <c r="C72" s="9"/>
      <c r="D72" s="13"/>
      <c r="E72" s="9"/>
      <c r="F72" s="9"/>
      <c r="G72" s="9"/>
      <c r="H72" s="9"/>
      <c r="I72" s="9"/>
      <c r="J72" s="9"/>
      <c r="K72" s="1"/>
      <c r="L72" s="1"/>
    </row>
    <row r="73" spans="1:12">
      <c r="A73" s="8" t="s">
        <v>15</v>
      </c>
      <c r="B73" s="9"/>
      <c r="C73" s="13"/>
      <c r="D73" s="9"/>
      <c r="E73" s="9"/>
      <c r="F73" s="9"/>
      <c r="G73" s="9"/>
      <c r="H73" s="9"/>
      <c r="I73" s="9"/>
      <c r="J73" s="9"/>
      <c r="K73" s="1"/>
      <c r="L73" s="1"/>
    </row>
    <row r="74" spans="1:12">
      <c r="A74" s="9"/>
      <c r="B74" s="9"/>
      <c r="C74" s="9"/>
      <c r="D74" s="9"/>
      <c r="E74" s="9"/>
      <c r="F74" s="9"/>
      <c r="G74" s="9"/>
      <c r="H74" s="9"/>
      <c r="I74" s="9"/>
      <c r="J74" s="9"/>
      <c r="K74" s="1"/>
      <c r="L74" s="1"/>
    </row>
    <row r="75" spans="1:12">
      <c r="A75" s="9"/>
      <c r="B75" s="9"/>
      <c r="C75" s="9"/>
      <c r="D75" s="9"/>
      <c r="E75" s="9"/>
      <c r="F75" s="9"/>
      <c r="G75" s="9"/>
      <c r="H75" s="9"/>
      <c r="I75" s="9"/>
      <c r="J75" s="9"/>
      <c r="K75" s="1"/>
      <c r="L75" s="1"/>
    </row>
    <row r="76" spans="1:12">
      <c r="A76" s="9"/>
      <c r="B76" s="9"/>
      <c r="C76" s="9"/>
      <c r="D76" s="9"/>
      <c r="E76" s="9"/>
      <c r="F76" s="9"/>
      <c r="G76" s="9"/>
      <c r="H76" s="9"/>
      <c r="I76" s="9"/>
      <c r="J76" s="9"/>
      <c r="K76" s="1"/>
      <c r="L76" s="1"/>
    </row>
    <row r="77" spans="1:12">
      <c r="A77" s="8" t="s">
        <v>16</v>
      </c>
      <c r="B77" s="13"/>
      <c r="C77" s="13"/>
      <c r="D77" s="15">
        <f>VAR(B3:L37)</f>
        <v>2.0009467433729712E-3</v>
      </c>
      <c r="E77" s="13"/>
      <c r="F77" s="13"/>
      <c r="G77" s="13"/>
      <c r="H77" s="13"/>
      <c r="I77" s="13"/>
      <c r="J77" s="13"/>
      <c r="K77" s="14"/>
      <c r="L77" s="1"/>
    </row>
    <row r="78" spans="1:12">
      <c r="A78" s="9"/>
      <c r="B78" s="9"/>
      <c r="C78" s="9"/>
      <c r="D78" s="9"/>
      <c r="E78" s="9"/>
      <c r="F78" s="9"/>
      <c r="G78" s="9"/>
      <c r="H78" s="9"/>
      <c r="I78" s="9"/>
      <c r="J78" s="9"/>
      <c r="K78" s="1"/>
      <c r="L78" s="1"/>
    </row>
    <row r="79" spans="1:12">
      <c r="A79" s="9"/>
      <c r="B79" s="9"/>
      <c r="C79" s="9"/>
      <c r="D79" s="9"/>
      <c r="E79" s="9"/>
      <c r="F79" s="9"/>
      <c r="G79" s="9"/>
      <c r="H79" s="9"/>
      <c r="I79" s="9"/>
      <c r="J79" s="9"/>
      <c r="K79" s="1"/>
      <c r="L79" s="1"/>
    </row>
    <row r="80" spans="1:12">
      <c r="A80" s="9"/>
      <c r="B80" s="9"/>
      <c r="C80" s="9"/>
      <c r="D80" s="9"/>
      <c r="E80" s="9"/>
      <c r="F80" s="9"/>
      <c r="G80" s="9"/>
      <c r="H80" s="9"/>
      <c r="I80" s="9"/>
      <c r="J80" s="9"/>
      <c r="K80" s="1"/>
      <c r="L80" s="1"/>
    </row>
    <row r="81" spans="1:12">
      <c r="A81" s="9"/>
      <c r="B81" s="9"/>
      <c r="C81" s="9"/>
      <c r="D81" s="9"/>
      <c r="E81" s="9"/>
      <c r="F81" s="9"/>
      <c r="G81" s="9"/>
      <c r="H81" s="9"/>
      <c r="I81" s="9"/>
      <c r="J81" s="9"/>
      <c r="K81" s="9"/>
      <c r="L81" s="9"/>
    </row>
    <row r="82" spans="1:12">
      <c r="A82" s="9"/>
      <c r="B82" s="9"/>
      <c r="C82" s="9"/>
      <c r="D82" s="9"/>
      <c r="E82" s="9"/>
      <c r="F82" s="9"/>
      <c r="G82" s="9"/>
      <c r="H82" s="9"/>
      <c r="I82" s="9"/>
      <c r="J82" s="9"/>
      <c r="K82" s="9"/>
      <c r="L82" s="9"/>
    </row>
    <row r="83" spans="1:12">
      <c r="A83" s="9" t="s">
        <v>17</v>
      </c>
      <c r="B83" s="71">
        <v>1</v>
      </c>
      <c r="C83" s="9"/>
      <c r="D83" s="9"/>
      <c r="E83" s="9"/>
      <c r="F83" s="9"/>
      <c r="G83" s="9"/>
      <c r="H83" s="9"/>
      <c r="I83" s="9"/>
      <c r="J83" s="9"/>
      <c r="K83" s="9"/>
      <c r="L83" s="9"/>
    </row>
    <row r="84" spans="1:12">
      <c r="A84" s="9"/>
      <c r="B84" s="9"/>
      <c r="C84" s="9"/>
      <c r="D84" s="9"/>
      <c r="E84" s="9"/>
      <c r="F84" s="9"/>
      <c r="G84" s="9"/>
      <c r="H84" s="9"/>
      <c r="I84" s="9"/>
      <c r="J84" s="9"/>
      <c r="K84" s="9"/>
      <c r="L84" s="9"/>
    </row>
    <row r="85" spans="1:12">
      <c r="A85" s="9"/>
      <c r="B85" s="9"/>
      <c r="C85" s="9"/>
      <c r="D85" s="9"/>
      <c r="E85" s="9"/>
      <c r="F85" s="9"/>
      <c r="G85" s="9"/>
      <c r="H85" s="9"/>
      <c r="I85" s="9"/>
      <c r="J85" s="9"/>
      <c r="K85" s="9"/>
      <c r="L85" s="9"/>
    </row>
    <row r="86" spans="1:12">
      <c r="A86" s="9" t="s">
        <v>18</v>
      </c>
      <c r="B86" s="15">
        <f>1/B53+1/B83</f>
        <v>1.25</v>
      </c>
      <c r="C86" s="15"/>
      <c r="D86" s="15"/>
      <c r="E86" s="15"/>
      <c r="F86" s="15"/>
      <c r="G86" s="15"/>
      <c r="H86" s="15"/>
      <c r="I86" s="15"/>
      <c r="J86" s="15"/>
      <c r="K86" s="15"/>
      <c r="L86" s="9"/>
    </row>
    <row r="87" spans="1:12">
      <c r="A87" s="9"/>
      <c r="B87" s="15"/>
      <c r="C87" s="15"/>
      <c r="D87" s="15"/>
      <c r="E87" s="15"/>
      <c r="F87" s="15"/>
      <c r="G87" s="15"/>
      <c r="H87" s="15"/>
      <c r="I87" s="15"/>
      <c r="J87" s="15"/>
      <c r="K87" s="15"/>
      <c r="L87" s="9"/>
    </row>
    <row r="88" spans="1:12">
      <c r="A88" s="9"/>
      <c r="B88" s="15"/>
      <c r="C88" s="15"/>
      <c r="D88" s="15"/>
      <c r="E88" s="15"/>
      <c r="F88" s="15"/>
      <c r="G88" s="15"/>
      <c r="H88" s="15"/>
      <c r="I88" s="15"/>
      <c r="J88" s="15"/>
      <c r="K88" s="15"/>
      <c r="L88" s="9"/>
    </row>
    <row r="89" spans="1:12">
      <c r="A89" s="9"/>
      <c r="B89" s="15"/>
      <c r="C89" s="15"/>
      <c r="D89" s="15"/>
      <c r="E89" s="15"/>
      <c r="F89" s="15"/>
      <c r="G89" s="15"/>
      <c r="H89" s="15"/>
      <c r="I89" s="15"/>
      <c r="J89" s="15"/>
      <c r="K89" s="15"/>
      <c r="L89" s="9"/>
    </row>
    <row r="90" spans="1:12">
      <c r="A90" s="9" t="s">
        <v>19</v>
      </c>
      <c r="B90" s="15">
        <f>D77*B86</f>
        <v>2.5011834292162139E-3</v>
      </c>
      <c r="C90" s="15"/>
      <c r="D90" s="15"/>
      <c r="E90" s="15"/>
      <c r="F90" s="15"/>
      <c r="G90" s="15"/>
      <c r="H90" s="15"/>
      <c r="I90" s="15"/>
      <c r="J90" s="15"/>
      <c r="K90" s="15"/>
      <c r="L90" s="9"/>
    </row>
    <row r="91" spans="1:12">
      <c r="A91" s="9"/>
      <c r="B91" s="9"/>
      <c r="C91" s="9"/>
      <c r="D91" s="9"/>
      <c r="E91" s="9"/>
      <c r="F91" s="9"/>
      <c r="G91" s="9"/>
      <c r="H91" s="9"/>
      <c r="I91" s="9"/>
      <c r="J91" s="9"/>
      <c r="K91" s="9"/>
      <c r="L91" s="9"/>
    </row>
    <row r="92" spans="1:12">
      <c r="A92" s="9"/>
      <c r="B92" s="9"/>
      <c r="C92" s="9"/>
      <c r="D92" s="9"/>
      <c r="E92" s="9"/>
      <c r="F92" s="9"/>
      <c r="G92" s="9"/>
      <c r="H92" s="9"/>
      <c r="I92" s="9"/>
      <c r="J92" s="9"/>
      <c r="K92" s="9"/>
      <c r="L92" s="9"/>
    </row>
    <row r="93" spans="1:12">
      <c r="A93" s="9"/>
      <c r="B93" s="9"/>
      <c r="C93" s="9"/>
      <c r="D93" s="9"/>
      <c r="E93" s="9"/>
      <c r="F93" s="9"/>
      <c r="G93" s="9"/>
      <c r="H93" s="9"/>
      <c r="I93" s="9"/>
      <c r="J93" s="9"/>
      <c r="K93" s="9"/>
      <c r="L93" s="9"/>
    </row>
    <row r="94" spans="1:12">
      <c r="A94" s="9"/>
      <c r="B94" s="9"/>
      <c r="C94" s="9"/>
      <c r="D94" s="9"/>
      <c r="E94" s="9"/>
      <c r="F94" s="9"/>
      <c r="G94" s="9"/>
      <c r="H94" s="9"/>
      <c r="I94" s="9"/>
      <c r="J94" s="9"/>
      <c r="K94" s="1"/>
      <c r="L94" s="1"/>
    </row>
    <row r="95" spans="1:12">
      <c r="A95" s="9"/>
      <c r="B95" s="9"/>
      <c r="C95" s="9"/>
      <c r="D95" s="9"/>
      <c r="E95" s="9"/>
      <c r="F95" s="9"/>
      <c r="G95" s="9"/>
      <c r="H95" s="9"/>
      <c r="I95" s="9"/>
      <c r="J95" s="9"/>
      <c r="K95" s="1"/>
      <c r="L95" s="1"/>
    </row>
    <row r="96" spans="1:12">
      <c r="A96" s="8" t="s">
        <v>20</v>
      </c>
      <c r="B96" s="9"/>
      <c r="C96" s="9">
        <f>SQRT(B90)</f>
        <v>5.0011832891988808E-2</v>
      </c>
      <c r="D96" s="9"/>
      <c r="E96" s="9"/>
      <c r="F96" s="9"/>
      <c r="G96" s="9"/>
      <c r="H96" s="9"/>
      <c r="I96" s="9"/>
      <c r="J96" s="9"/>
      <c r="K96" s="1"/>
      <c r="L96" s="1"/>
    </row>
    <row r="97" spans="1:12">
      <c r="A97" s="9"/>
      <c r="B97" s="9"/>
      <c r="C97" s="9"/>
      <c r="D97" s="9"/>
      <c r="E97" s="9"/>
      <c r="F97" s="9"/>
      <c r="G97" s="9"/>
      <c r="H97" s="9"/>
      <c r="I97" s="9"/>
      <c r="J97" s="9"/>
      <c r="K97" s="9"/>
      <c r="L97" s="9"/>
    </row>
    <row r="98" spans="1:12">
      <c r="A98" s="9"/>
      <c r="B98" s="9"/>
      <c r="C98" s="9"/>
      <c r="D98" s="9"/>
      <c r="E98" s="9"/>
      <c r="F98" s="9"/>
      <c r="G98" s="9"/>
      <c r="H98" s="9"/>
      <c r="I98" s="9"/>
      <c r="J98" s="9"/>
      <c r="K98" s="9"/>
      <c r="L98" s="9"/>
    </row>
    <row r="99" spans="1:12">
      <c r="A99" s="8" t="s">
        <v>21</v>
      </c>
      <c r="B99" s="9"/>
      <c r="C99" s="9"/>
      <c r="D99" s="9"/>
      <c r="E99" s="9"/>
      <c r="F99" s="9"/>
      <c r="G99" s="9"/>
      <c r="H99" s="9"/>
      <c r="I99" s="9"/>
      <c r="J99" s="9"/>
      <c r="K99" s="9"/>
      <c r="L99" s="9"/>
    </row>
    <row r="100" spans="1:12">
      <c r="A100" s="9"/>
      <c r="B100" s="9"/>
      <c r="C100" s="9"/>
      <c r="D100" s="9"/>
      <c r="E100" s="9"/>
      <c r="F100" s="9"/>
      <c r="G100" s="9"/>
      <c r="H100" s="9"/>
      <c r="I100" s="9"/>
      <c r="J100" s="9"/>
      <c r="K100" s="9"/>
      <c r="L100" s="9"/>
    </row>
    <row r="101" spans="1:12">
      <c r="A101" s="9"/>
      <c r="B101" s="9"/>
      <c r="C101" s="9"/>
      <c r="D101" s="9"/>
      <c r="E101" s="9"/>
      <c r="F101" s="9"/>
      <c r="G101" s="9"/>
      <c r="H101" s="9"/>
      <c r="I101" s="9"/>
      <c r="J101" s="9"/>
      <c r="K101" s="9"/>
      <c r="L101" s="9"/>
    </row>
    <row r="102" spans="1:12">
      <c r="A102" s="9" t="s">
        <v>22</v>
      </c>
      <c r="B102" s="16" t="s">
        <v>23</v>
      </c>
      <c r="C102" s="9"/>
      <c r="D102" s="9"/>
      <c r="E102" s="9"/>
      <c r="F102" s="9"/>
      <c r="G102" s="9"/>
      <c r="H102" s="8">
        <f>TINV(2*0.01,B58)</f>
        <v>4.5407028585681335</v>
      </c>
      <c r="I102" s="9"/>
      <c r="J102" s="9"/>
      <c r="K102" s="10"/>
      <c r="L102" s="9"/>
    </row>
    <row r="103" spans="1:12">
      <c r="A103" s="9"/>
      <c r="B103" s="9"/>
      <c r="C103" s="9"/>
      <c r="D103" s="9"/>
      <c r="E103" s="9"/>
      <c r="F103" s="9"/>
      <c r="G103" s="9"/>
      <c r="H103" s="9"/>
      <c r="I103" s="9"/>
      <c r="J103" s="9"/>
      <c r="K103" s="9"/>
      <c r="L103" s="9"/>
    </row>
    <row r="104" spans="1:12">
      <c r="A104" s="9"/>
      <c r="B104" s="9"/>
      <c r="C104" s="9"/>
      <c r="D104" s="9"/>
      <c r="E104" s="9"/>
      <c r="F104" s="9"/>
      <c r="G104" s="9"/>
      <c r="H104" s="9"/>
      <c r="I104" s="9"/>
      <c r="J104" s="9"/>
      <c r="K104" s="9"/>
      <c r="L104" s="9"/>
    </row>
    <row r="105" spans="1:12">
      <c r="A105" s="471" t="s">
        <v>26</v>
      </c>
      <c r="B105" s="471"/>
      <c r="C105" s="471"/>
      <c r="D105" s="471"/>
      <c r="E105" s="471"/>
      <c r="F105" s="471"/>
      <c r="G105" s="471"/>
      <c r="H105" s="471"/>
      <c r="I105" s="471"/>
      <c r="J105" s="471"/>
      <c r="K105" s="9"/>
      <c r="L105" s="9"/>
    </row>
    <row r="106" spans="1:12">
      <c r="A106" s="9"/>
      <c r="B106" s="9"/>
      <c r="C106" s="9"/>
      <c r="D106" s="9"/>
      <c r="E106" s="9"/>
      <c r="F106" s="9"/>
      <c r="G106" s="9"/>
      <c r="H106" s="9"/>
      <c r="I106" s="9"/>
      <c r="J106" s="9"/>
      <c r="K106" s="9"/>
      <c r="L106" s="9"/>
    </row>
    <row r="107" spans="1:12">
      <c r="A107" s="472" t="s">
        <v>27</v>
      </c>
      <c r="B107" s="472"/>
      <c r="C107" s="472"/>
      <c r="D107" s="472"/>
      <c r="E107" s="472"/>
      <c r="F107" s="472"/>
      <c r="G107" s="472"/>
      <c r="H107" s="472"/>
      <c r="I107" s="9"/>
      <c r="J107" s="9">
        <f>B53</f>
        <v>4</v>
      </c>
      <c r="K107" s="1"/>
      <c r="L107" s="1"/>
    </row>
    <row r="108" spans="1:12">
      <c r="A108" s="9"/>
      <c r="B108" s="9"/>
      <c r="C108" s="9"/>
      <c r="D108" s="9"/>
      <c r="E108" s="9"/>
      <c r="F108" s="9"/>
      <c r="G108" s="9"/>
      <c r="H108" s="9"/>
      <c r="I108" s="9"/>
      <c r="J108" s="9"/>
      <c r="K108" s="1"/>
      <c r="L108" s="1"/>
    </row>
    <row r="109" spans="1:12">
      <c r="A109" s="472" t="s">
        <v>28</v>
      </c>
      <c r="B109" s="472"/>
      <c r="C109" s="472"/>
      <c r="D109" s="472"/>
      <c r="E109" s="472"/>
      <c r="F109" s="472"/>
      <c r="G109" s="472"/>
      <c r="H109" s="472"/>
      <c r="J109">
        <f>1/(1+$H$102^2/($J$107-1))</f>
        <v>0.12702185745016017</v>
      </c>
    </row>
    <row r="114" spans="1:7">
      <c r="B114" s="465" t="s">
        <v>29</v>
      </c>
      <c r="C114" s="465"/>
      <c r="E114" s="41">
        <v>0.97842535386247631</v>
      </c>
    </row>
    <row r="115" spans="1:7">
      <c r="A115" s="39" t="s">
        <v>30</v>
      </c>
      <c r="B115" s="464" t="s">
        <v>177</v>
      </c>
      <c r="C115" s="464"/>
      <c r="D115" s="464"/>
      <c r="E115" s="464"/>
      <c r="F115" s="464"/>
      <c r="G115" s="464"/>
    </row>
    <row r="117" spans="1:7">
      <c r="B117" s="39" t="s">
        <v>175</v>
      </c>
      <c r="C117" s="39"/>
      <c r="D117" s="39"/>
      <c r="E117" s="40">
        <v>0.41</v>
      </c>
    </row>
    <row r="119" spans="1:7">
      <c r="B119" s="465" t="s">
        <v>31</v>
      </c>
      <c r="C119" s="465"/>
      <c r="D119" s="465"/>
      <c r="E119" s="40">
        <v>6.1607028584215042</v>
      </c>
    </row>
    <row r="122" spans="1:7">
      <c r="A122" s="70" t="s">
        <v>32</v>
      </c>
      <c r="B122" s="70"/>
      <c r="C122" s="70"/>
      <c r="D122" s="70"/>
      <c r="E122" s="72">
        <f>B72+C96*E119</f>
        <v>0.36319731974709413</v>
      </c>
    </row>
    <row r="125" spans="1:7">
      <c r="D125" s="43" t="s">
        <v>932</v>
      </c>
      <c r="E125" s="441">
        <v>6.4000000000000003E-3</v>
      </c>
      <c r="F125" s="50" t="str">
        <f>IFERROR(IF(FIND("MM",C26,1)&gt;0,"lb/MMBtu","lb/MW"),"lb/MW")</f>
        <v>lb/MW</v>
      </c>
    </row>
    <row r="126" spans="1:7">
      <c r="D126" s="50"/>
      <c r="E126" s="50"/>
      <c r="F126" s="50"/>
    </row>
    <row r="127" spans="1:7">
      <c r="D127" s="50" t="s">
        <v>931</v>
      </c>
      <c r="E127" s="365">
        <f>IF(E125&lt;E122,E122,E125)</f>
        <v>0.36319731974709413</v>
      </c>
      <c r="F127" s="50" t="str">
        <f>IFERROR(IF(FIND("MM",C26,1)&gt;0,"lb/MMBtu","lb/MW"),"lb/MW")</f>
        <v>lb/MW</v>
      </c>
    </row>
  </sheetData>
  <mergeCells count="8">
    <mergeCell ref="B115:G115"/>
    <mergeCell ref="B119:D119"/>
    <mergeCell ref="B1:L1"/>
    <mergeCell ref="E41:O41"/>
    <mergeCell ref="A105:J105"/>
    <mergeCell ref="A107:H107"/>
    <mergeCell ref="A109:H109"/>
    <mergeCell ref="B114:C114"/>
  </mergeCells>
  <pageMargins left="0.7" right="0.7" top="0.75" bottom="0.75" header="0.3" footer="0.3"/>
  <pageSetup scale="70" orientation="landscape" r:id="rId1"/>
  <drawing r:id="rId2"/>
  <legacyDrawing r:id="rId3"/>
  <oleObjects>
    <oleObject progId="Equation.DSMT4" shapeId="45057" r:id="rId4"/>
    <oleObject progId="Equation.DSMT4" shapeId="45058" r:id="rId5"/>
    <oleObject progId="Equation.DSMT4" shapeId="45059" r:id="rId6"/>
    <oleObject progId="Equation.DSMT4" shapeId="45060" r:id="rId7"/>
    <oleObject progId="Equation.DSMT4" shapeId="45061" r:id="rId8"/>
    <oleObject progId="Equation.DSMT4" shapeId="45062" r:id="rId9"/>
    <oleObject progId="Equation.DSMT4" shapeId="45063" r:id="rId10"/>
    <oleObject progId="Equation.DSMT4" shapeId="45064" r:id="rId11"/>
    <oleObject progId="Equation.DSMT4" shapeId="45065" r:id="rId12"/>
    <oleObject progId="Equation.DSMT4" shapeId="45066" r:id="rId13"/>
    <oleObject progId="Equation.DSMT4" shapeId="45067" r:id="rId14"/>
  </oleObjects>
</worksheet>
</file>

<file path=xl/worksheets/sheet4.xml><?xml version="1.0" encoding="utf-8"?>
<worksheet xmlns="http://schemas.openxmlformats.org/spreadsheetml/2006/main" xmlns:r="http://schemas.openxmlformats.org/officeDocument/2006/relationships">
  <sheetPr>
    <tabColor rgb="FF92D050"/>
  </sheetPr>
  <dimension ref="A1:DY310"/>
  <sheetViews>
    <sheetView workbookViewId="0"/>
  </sheetViews>
  <sheetFormatPr defaultRowHeight="15"/>
  <cols>
    <col min="1" max="1" width="25.42578125" customWidth="1"/>
    <col min="2" max="2" width="16.42578125" customWidth="1"/>
    <col min="3" max="3" width="14.7109375" customWidth="1"/>
    <col min="4" max="4" width="16.85546875" customWidth="1"/>
    <col min="5" max="5" width="17.140625" style="92" customWidth="1"/>
    <col min="6" max="6" width="11.42578125" bestFit="1" customWidth="1"/>
    <col min="7" max="7" width="14.7109375" customWidth="1"/>
    <col min="8" max="8" width="10.5703125" customWidth="1"/>
    <col min="9" max="9" width="15.7109375" customWidth="1"/>
    <col min="10" max="10" width="16.42578125" customWidth="1"/>
    <col min="11" max="11" width="12.140625" customWidth="1"/>
    <col min="12" max="12" width="11.28515625" customWidth="1"/>
    <col min="13" max="13" width="15.28515625" customWidth="1"/>
    <col min="14" max="14" width="11" customWidth="1"/>
    <col min="15" max="15" width="10.42578125" customWidth="1"/>
    <col min="16" max="16" width="10.140625" bestFit="1" customWidth="1"/>
    <col min="17" max="17" width="8.28515625" bestFit="1" customWidth="1"/>
    <col min="18" max="18" width="9.28515625" customWidth="1"/>
    <col min="19" max="19" width="12.28515625" bestFit="1" customWidth="1"/>
    <col min="20" max="20" width="22.5703125" customWidth="1"/>
    <col min="21" max="21" width="12" customWidth="1"/>
    <col min="22" max="22" width="11" customWidth="1"/>
    <col min="23" max="23" width="11.140625" customWidth="1"/>
    <col min="24" max="29" width="10.7109375" customWidth="1"/>
    <col min="30" max="30" width="7.140625" customWidth="1"/>
    <col min="31" max="32" width="7.28515625" style="76" bestFit="1" customWidth="1"/>
    <col min="33" max="33" width="9.140625" customWidth="1"/>
    <col min="34" max="34" width="8.85546875" customWidth="1"/>
    <col min="35" max="35" width="11" customWidth="1"/>
    <col min="36" max="36" width="10.85546875" customWidth="1"/>
    <col min="37" max="37" width="10" customWidth="1"/>
    <col min="38" max="38" width="9.140625" customWidth="1"/>
    <col min="39" max="39" width="7.5703125" customWidth="1"/>
    <col min="40" max="40" width="6" bestFit="1" customWidth="1"/>
    <col min="41" max="41" width="9.140625" customWidth="1"/>
    <col min="42" max="42" width="10" customWidth="1"/>
    <col min="43" max="43" width="12.42578125" bestFit="1" customWidth="1"/>
    <col min="44" max="44" width="12.28515625" customWidth="1"/>
    <col min="45" max="45" width="10.42578125" customWidth="1"/>
    <col min="46" max="46" width="12.7109375" customWidth="1"/>
    <col min="47" max="47" width="12.140625" bestFit="1" customWidth="1"/>
    <col min="48" max="48" width="14.140625" customWidth="1"/>
    <col min="49" max="49" width="12" bestFit="1" customWidth="1"/>
    <col min="50" max="50" width="12.85546875" customWidth="1"/>
    <col min="51" max="52" width="9.140625" customWidth="1"/>
    <col min="53" max="53" width="12.5703125" customWidth="1"/>
    <col min="54" max="54" width="13" customWidth="1"/>
    <col min="55" max="55" width="11.28515625" customWidth="1"/>
    <col min="56" max="56" width="13.28515625" customWidth="1"/>
    <col min="57" max="58" width="12.7109375" customWidth="1"/>
    <col min="59" max="62" width="9.140625" customWidth="1"/>
    <col min="63" max="63" width="12.42578125" customWidth="1"/>
    <col min="64" max="64" width="9.140625" customWidth="1"/>
    <col min="65" max="66" width="17.42578125" style="172" customWidth="1"/>
    <col min="67" max="69" width="9.140625" customWidth="1"/>
    <col min="70" max="70" width="19.85546875" bestFit="1" customWidth="1"/>
    <col min="71" max="95" width="9.140625" customWidth="1"/>
    <col min="96" max="96" width="11.7109375" customWidth="1"/>
    <col min="97" max="98" width="12.42578125" customWidth="1"/>
    <col min="99" max="99" width="10.28515625" customWidth="1"/>
    <col min="100" max="100" width="11.85546875" customWidth="1"/>
    <col min="101" max="101" width="13.28515625" customWidth="1"/>
    <col min="102" max="103" width="9.140625" customWidth="1"/>
  </cols>
  <sheetData>
    <row r="1" spans="1:105" s="92" customFormat="1">
      <c r="I1" s="77" t="s">
        <v>474</v>
      </c>
      <c r="K1" s="77" t="s">
        <v>474</v>
      </c>
      <c r="N1" s="92" t="s">
        <v>475</v>
      </c>
      <c r="O1" s="92" t="s">
        <v>476</v>
      </c>
      <c r="Q1" s="92" t="s">
        <v>477</v>
      </c>
      <c r="R1" s="92" t="s">
        <v>218</v>
      </c>
      <c r="S1" s="92" t="s">
        <v>478</v>
      </c>
      <c r="T1" s="92" t="s">
        <v>477</v>
      </c>
      <c r="U1" s="92">
        <f>1/453592370</f>
        <v>2.2046226218487758E-9</v>
      </c>
      <c r="V1" s="166" t="s">
        <v>479</v>
      </c>
      <c r="W1" s="167">
        <v>2.8316846592000001E-2</v>
      </c>
      <c r="X1" s="167"/>
      <c r="Y1" s="167"/>
      <c r="Z1" s="167"/>
      <c r="AA1" s="166" t="s">
        <v>480</v>
      </c>
      <c r="AB1" s="166"/>
      <c r="AC1" s="166"/>
      <c r="AD1" s="166"/>
      <c r="AE1" s="166"/>
      <c r="AF1" s="166"/>
      <c r="AG1" s="166" t="s">
        <v>481</v>
      </c>
      <c r="AH1" s="166"/>
      <c r="AI1" s="166"/>
      <c r="AJ1" s="166" t="s">
        <v>192</v>
      </c>
      <c r="AK1" s="166"/>
      <c r="AL1" s="166"/>
      <c r="AM1" s="166"/>
      <c r="AN1" s="166"/>
      <c r="AQ1" s="92" t="s">
        <v>482</v>
      </c>
      <c r="AU1" s="92" t="s">
        <v>483</v>
      </c>
      <c r="AW1" s="168" t="s">
        <v>484</v>
      </c>
      <c r="BM1" s="169"/>
      <c r="BN1" s="169"/>
    </row>
    <row r="2" spans="1:105" s="92" customFormat="1">
      <c r="I2" s="77" t="s">
        <v>485</v>
      </c>
      <c r="K2" s="77" t="s">
        <v>485</v>
      </c>
      <c r="N2" s="92" t="s">
        <v>486</v>
      </c>
      <c r="O2" s="92" t="s">
        <v>487</v>
      </c>
      <c r="Q2" s="92" t="s">
        <v>488</v>
      </c>
      <c r="R2" s="92" t="s">
        <v>489</v>
      </c>
      <c r="S2" s="92" t="s">
        <v>490</v>
      </c>
      <c r="T2" s="92" t="s">
        <v>491</v>
      </c>
      <c r="U2" s="92">
        <f>U1*1000</f>
        <v>2.204622621848776E-6</v>
      </c>
      <c r="V2" s="92" t="s">
        <v>492</v>
      </c>
      <c r="AQ2" s="92" t="s">
        <v>493</v>
      </c>
      <c r="AU2" s="92" t="s">
        <v>494</v>
      </c>
      <c r="AW2" s="168" t="s">
        <v>484</v>
      </c>
      <c r="BM2" s="169"/>
      <c r="BN2" s="169"/>
    </row>
    <row r="3" spans="1:105" s="92" customFormat="1">
      <c r="I3" s="77" t="s">
        <v>495</v>
      </c>
      <c r="K3" s="77" t="s">
        <v>495</v>
      </c>
      <c r="N3" s="92" t="s">
        <v>496</v>
      </c>
      <c r="O3" s="92" t="s">
        <v>497</v>
      </c>
      <c r="Q3" s="92" t="s">
        <v>491</v>
      </c>
      <c r="S3" s="92" t="s">
        <v>498</v>
      </c>
      <c r="T3" s="92" t="s">
        <v>499</v>
      </c>
      <c r="V3" s="92" t="s">
        <v>500</v>
      </c>
      <c r="AQ3" s="92" t="s">
        <v>501</v>
      </c>
      <c r="AU3" s="92" t="s">
        <v>502</v>
      </c>
      <c r="AW3" s="168" t="s">
        <v>484</v>
      </c>
      <c r="BM3" s="169"/>
      <c r="BN3" s="169"/>
    </row>
    <row r="4" spans="1:105" s="92" customFormat="1">
      <c r="I4" s="77" t="s">
        <v>503</v>
      </c>
      <c r="K4" s="77" t="s">
        <v>503</v>
      </c>
      <c r="N4" s="92" t="s">
        <v>504</v>
      </c>
      <c r="O4" s="92" t="s">
        <v>505</v>
      </c>
      <c r="Q4" s="92" t="s">
        <v>506</v>
      </c>
      <c r="S4" s="92" t="s">
        <v>507</v>
      </c>
      <c r="AQ4" s="92" t="s">
        <v>508</v>
      </c>
      <c r="AU4" s="92" t="s">
        <v>509</v>
      </c>
      <c r="AW4" s="168" t="s">
        <v>484</v>
      </c>
      <c r="BM4" s="169"/>
      <c r="BN4" s="169"/>
    </row>
    <row r="5" spans="1:105" s="92" customFormat="1">
      <c r="I5" s="77" t="s">
        <v>510</v>
      </c>
      <c r="K5" s="77" t="s">
        <v>510</v>
      </c>
      <c r="N5" s="92" t="s">
        <v>511</v>
      </c>
      <c r="O5" s="92" t="s">
        <v>512</v>
      </c>
      <c r="Q5" s="92" t="s">
        <v>513</v>
      </c>
      <c r="AQ5" s="92" t="s">
        <v>514</v>
      </c>
      <c r="AW5" s="168" t="s">
        <v>484</v>
      </c>
      <c r="BM5" s="169"/>
      <c r="BN5" s="169"/>
    </row>
    <row r="6" spans="1:105" s="92" customFormat="1">
      <c r="I6" s="170" t="s">
        <v>515</v>
      </c>
      <c r="K6" s="77" t="s">
        <v>516</v>
      </c>
      <c r="N6" s="92" t="s">
        <v>517</v>
      </c>
      <c r="O6" s="92" t="s">
        <v>518</v>
      </c>
      <c r="AQ6" s="92" t="s">
        <v>519</v>
      </c>
      <c r="AW6" s="168" t="s">
        <v>484</v>
      </c>
      <c r="BM6" s="169"/>
      <c r="BN6" s="169"/>
    </row>
    <row r="7" spans="1:105" s="92" customFormat="1">
      <c r="K7" s="77" t="s">
        <v>520</v>
      </c>
      <c r="O7" s="92" t="s">
        <v>521</v>
      </c>
      <c r="AW7" s="168" t="s">
        <v>484</v>
      </c>
      <c r="BM7" s="169"/>
      <c r="BN7" s="169"/>
    </row>
    <row r="8" spans="1:105">
      <c r="AD8" s="76"/>
      <c r="AF8"/>
      <c r="AO8" s="92"/>
      <c r="AP8" s="92"/>
      <c r="AQ8" s="92"/>
      <c r="AR8" s="92"/>
      <c r="AS8" s="92"/>
      <c r="AT8" s="92"/>
      <c r="AU8" s="92"/>
      <c r="AV8" s="92"/>
      <c r="AW8" s="171" t="s">
        <v>484</v>
      </c>
    </row>
    <row r="9" spans="1:105" s="177" customFormat="1">
      <c r="A9" s="476" t="s">
        <v>522</v>
      </c>
      <c r="B9" s="481"/>
      <c r="C9" s="481"/>
      <c r="D9" s="481"/>
      <c r="E9" s="482"/>
      <c r="F9" s="173"/>
      <c r="G9" s="476" t="s">
        <v>523</v>
      </c>
      <c r="H9" s="473"/>
      <c r="I9" s="473"/>
      <c r="J9" s="473"/>
      <c r="K9" s="473"/>
      <c r="L9" s="473"/>
      <c r="M9" s="473"/>
      <c r="N9" s="473"/>
      <c r="O9" s="473"/>
      <c r="P9" s="473"/>
      <c r="Q9" s="473"/>
      <c r="R9" s="174" t="s">
        <v>524</v>
      </c>
      <c r="S9" s="473" t="s">
        <v>525</v>
      </c>
      <c r="T9" s="482"/>
      <c r="U9" s="476" t="s">
        <v>526</v>
      </c>
      <c r="V9" s="473"/>
      <c r="W9" s="473"/>
      <c r="X9" s="473"/>
      <c r="Y9" s="473"/>
      <c r="Z9" s="473"/>
      <c r="AA9" s="482"/>
      <c r="AB9" s="175"/>
      <c r="AC9" s="473" t="s">
        <v>523</v>
      </c>
      <c r="AD9" s="474"/>
      <c r="AE9" s="474"/>
      <c r="AF9" s="474"/>
      <c r="AG9" s="474"/>
      <c r="AH9" s="474"/>
      <c r="AI9" s="474"/>
      <c r="AJ9" s="474"/>
      <c r="AK9" s="475"/>
      <c r="AL9" s="476" t="s">
        <v>526</v>
      </c>
      <c r="AM9" s="473"/>
      <c r="AN9" s="473"/>
      <c r="AO9" s="473"/>
      <c r="AP9" s="477"/>
      <c r="AQ9" s="477"/>
      <c r="AR9" s="477"/>
      <c r="AS9" s="478"/>
      <c r="AT9" s="175" t="s">
        <v>527</v>
      </c>
      <c r="AU9" s="176"/>
      <c r="AV9" s="173" t="s">
        <v>527</v>
      </c>
      <c r="AW9" s="171" t="s">
        <v>484</v>
      </c>
      <c r="BM9" s="178"/>
      <c r="BN9" s="178"/>
    </row>
    <row r="10" spans="1:105" s="188" customFormat="1" ht="59.25" customHeight="1" thickBot="1">
      <c r="A10" s="179" t="s">
        <v>528</v>
      </c>
      <c r="B10" s="180" t="s">
        <v>529</v>
      </c>
      <c r="C10" s="180" t="s">
        <v>530</v>
      </c>
      <c r="D10" s="180" t="s">
        <v>531</v>
      </c>
      <c r="E10" s="181" t="s">
        <v>384</v>
      </c>
      <c r="F10" s="181" t="s">
        <v>532</v>
      </c>
      <c r="G10" s="182" t="s">
        <v>533</v>
      </c>
      <c r="H10" s="183" t="s">
        <v>534</v>
      </c>
      <c r="I10" s="183" t="s">
        <v>535</v>
      </c>
      <c r="J10" s="183" t="s">
        <v>536</v>
      </c>
      <c r="K10" s="183" t="s">
        <v>537</v>
      </c>
      <c r="L10" s="183" t="s">
        <v>538</v>
      </c>
      <c r="M10" s="183" t="s">
        <v>539</v>
      </c>
      <c r="N10" s="184" t="s">
        <v>540</v>
      </c>
      <c r="O10" s="184" t="s">
        <v>541</v>
      </c>
      <c r="P10" s="183" t="s">
        <v>542</v>
      </c>
      <c r="Q10" s="183" t="s">
        <v>543</v>
      </c>
      <c r="R10" s="185" t="s">
        <v>544</v>
      </c>
      <c r="S10" s="183" t="s">
        <v>545</v>
      </c>
      <c r="T10" s="183" t="s">
        <v>546</v>
      </c>
      <c r="U10" s="186" t="s">
        <v>547</v>
      </c>
      <c r="V10" s="183" t="s">
        <v>548</v>
      </c>
      <c r="W10" s="183" t="s">
        <v>549</v>
      </c>
      <c r="X10" s="183" t="s">
        <v>550</v>
      </c>
      <c r="Y10" s="183" t="s">
        <v>550</v>
      </c>
      <c r="Z10" s="183" t="s">
        <v>550</v>
      </c>
      <c r="AA10" s="181" t="s">
        <v>551</v>
      </c>
      <c r="AB10" s="186" t="s">
        <v>552</v>
      </c>
      <c r="AC10" s="183" t="s">
        <v>553</v>
      </c>
      <c r="AD10" s="184" t="s">
        <v>554</v>
      </c>
      <c r="AE10" s="184" t="s">
        <v>555</v>
      </c>
      <c r="AF10" s="183" t="s">
        <v>556</v>
      </c>
      <c r="AG10" s="183" t="s">
        <v>557</v>
      </c>
      <c r="AH10" s="183" t="s">
        <v>558</v>
      </c>
      <c r="AI10" s="183" t="s">
        <v>559</v>
      </c>
      <c r="AJ10" s="183" t="s">
        <v>560</v>
      </c>
      <c r="AK10" s="181" t="s">
        <v>561</v>
      </c>
      <c r="AL10" s="186" t="s">
        <v>562</v>
      </c>
      <c r="AM10" s="183" t="s">
        <v>563</v>
      </c>
      <c r="AN10" s="183" t="s">
        <v>564</v>
      </c>
      <c r="AO10" s="183" t="s">
        <v>565</v>
      </c>
      <c r="AP10" s="183" t="s">
        <v>566</v>
      </c>
      <c r="AQ10" s="183" t="s">
        <v>567</v>
      </c>
      <c r="AR10" s="183" t="s">
        <v>568</v>
      </c>
      <c r="AS10" s="181" t="s">
        <v>569</v>
      </c>
      <c r="AT10" s="186" t="s">
        <v>570</v>
      </c>
      <c r="AU10" s="183" t="s">
        <v>571</v>
      </c>
      <c r="AV10" s="181" t="s">
        <v>572</v>
      </c>
      <c r="AW10" s="187" t="s">
        <v>484</v>
      </c>
      <c r="AX10" s="188" t="s">
        <v>384</v>
      </c>
      <c r="AY10" s="188" t="s">
        <v>573</v>
      </c>
      <c r="AZ10" s="188" t="s">
        <v>574</v>
      </c>
      <c r="BA10" s="188" t="s">
        <v>575</v>
      </c>
      <c r="BB10" s="188" t="s">
        <v>576</v>
      </c>
      <c r="BC10" s="188" t="s">
        <v>577</v>
      </c>
      <c r="BD10" s="188" t="s">
        <v>578</v>
      </c>
      <c r="BE10" s="188" t="s">
        <v>579</v>
      </c>
      <c r="BF10" s="188" t="s">
        <v>183</v>
      </c>
      <c r="BG10" s="188" t="s">
        <v>580</v>
      </c>
      <c r="BH10" s="188" t="s">
        <v>581</v>
      </c>
      <c r="BI10" s="188" t="s">
        <v>582</v>
      </c>
      <c r="BJ10" s="188" t="s">
        <v>583</v>
      </c>
      <c r="BK10" s="188" t="s">
        <v>584</v>
      </c>
      <c r="BL10" s="188" t="s">
        <v>585</v>
      </c>
      <c r="BM10" s="189" t="s">
        <v>586</v>
      </c>
      <c r="BN10" s="189" t="s">
        <v>587</v>
      </c>
      <c r="BO10" s="188" t="s">
        <v>588</v>
      </c>
      <c r="BP10" s="188" t="s">
        <v>589</v>
      </c>
      <c r="BQ10" s="188" t="s">
        <v>590</v>
      </c>
      <c r="BR10" s="188" t="s">
        <v>591</v>
      </c>
      <c r="BS10" s="188" t="s">
        <v>592</v>
      </c>
      <c r="BT10" s="188" t="s">
        <v>593</v>
      </c>
      <c r="BU10" s="188" t="s">
        <v>594</v>
      </c>
      <c r="BV10" s="188" t="s">
        <v>595</v>
      </c>
      <c r="BW10" s="188" t="s">
        <v>596</v>
      </c>
      <c r="BX10" s="188" t="s">
        <v>597</v>
      </c>
      <c r="BY10" s="188" t="s">
        <v>598</v>
      </c>
      <c r="BZ10" s="188" t="s">
        <v>599</v>
      </c>
      <c r="CA10" s="188" t="s">
        <v>600</v>
      </c>
      <c r="CB10" s="188" t="s">
        <v>601</v>
      </c>
      <c r="CC10" s="188" t="s">
        <v>602</v>
      </c>
      <c r="CD10" s="188" t="s">
        <v>603</v>
      </c>
      <c r="CE10" s="188" t="s">
        <v>604</v>
      </c>
      <c r="CF10" s="188" t="s">
        <v>605</v>
      </c>
      <c r="CG10" s="188" t="s">
        <v>606</v>
      </c>
      <c r="CH10" s="188" t="s">
        <v>607</v>
      </c>
      <c r="CI10" s="188" t="s">
        <v>608</v>
      </c>
      <c r="CJ10" s="188" t="s">
        <v>609</v>
      </c>
      <c r="CK10" s="188" t="s">
        <v>610</v>
      </c>
      <c r="CL10" s="188" t="s">
        <v>611</v>
      </c>
      <c r="CM10" s="188" t="s">
        <v>612</v>
      </c>
      <c r="CN10" s="188" t="s">
        <v>613</v>
      </c>
      <c r="CO10" s="188" t="s">
        <v>614</v>
      </c>
      <c r="CP10" s="188" t="s">
        <v>615</v>
      </c>
      <c r="CQ10" s="188" t="s">
        <v>616</v>
      </c>
      <c r="CR10" s="188" t="s">
        <v>617</v>
      </c>
      <c r="CS10" s="188" t="s">
        <v>618</v>
      </c>
      <c r="CT10" s="188" t="s">
        <v>619</v>
      </c>
      <c r="CU10" s="188" t="s">
        <v>620</v>
      </c>
      <c r="CV10" s="188" t="s">
        <v>621</v>
      </c>
      <c r="CW10" s="188" t="s">
        <v>622</v>
      </c>
      <c r="CZ10" s="188" t="s">
        <v>902</v>
      </c>
    </row>
    <row r="11" spans="1:105" s="194" customFormat="1" ht="16.5" thickTop="1" thickBot="1">
      <c r="A11" s="190"/>
      <c r="B11" s="190" t="s">
        <v>201</v>
      </c>
      <c r="C11" s="442" t="s">
        <v>218</v>
      </c>
      <c r="D11" s="442" t="s">
        <v>933</v>
      </c>
      <c r="E11" s="202" t="s">
        <v>624</v>
      </c>
      <c r="F11" s="203" t="s">
        <v>625</v>
      </c>
      <c r="G11" s="200">
        <v>1588</v>
      </c>
      <c r="H11" s="444">
        <v>7</v>
      </c>
      <c r="I11" s="205" t="s">
        <v>503</v>
      </c>
      <c r="J11" s="445"/>
      <c r="K11" s="205"/>
      <c r="L11" s="210"/>
      <c r="M11" s="205" t="s">
        <v>201</v>
      </c>
      <c r="N11" s="200" t="s">
        <v>475</v>
      </c>
      <c r="O11" s="206"/>
      <c r="P11" s="200"/>
      <c r="Q11" s="200"/>
      <c r="R11" s="207" t="s">
        <v>218</v>
      </c>
      <c r="S11" s="208">
        <f>ROUND((BN11-BM11)*24,0)*0.00000220462*0.028317*IF(AB11&lt;&gt;"",AB11,AL11)*IF(AD11&lt;&gt;"",20.9/(20.9-AD11),20.9/(20.9-6))</f>
        <v>8.0151413874480885E-4</v>
      </c>
      <c r="T11" s="202" t="s">
        <v>499</v>
      </c>
      <c r="U11" s="209"/>
      <c r="V11" s="210"/>
      <c r="W11" s="211"/>
      <c r="X11" s="211"/>
      <c r="Y11" s="211"/>
      <c r="Z11" s="211"/>
      <c r="AA11" s="202"/>
      <c r="AB11" s="212"/>
      <c r="AC11" s="210"/>
      <c r="AD11" s="210">
        <f>BS11</f>
        <v>5.94</v>
      </c>
      <c r="AE11" s="210"/>
      <c r="AF11" s="446"/>
      <c r="AG11" s="210"/>
      <c r="AH11" s="210"/>
      <c r="AI11" s="209">
        <f>CG11</f>
        <v>4.0000000000000001E-3</v>
      </c>
      <c r="AJ11" s="210" t="s">
        <v>192</v>
      </c>
      <c r="AK11" s="202"/>
      <c r="AL11" s="213">
        <f t="shared" ref="AL11:AL19" si="0">VLOOKUP($I11,$A$103:$E$110,3,FALSE)</f>
        <v>9190</v>
      </c>
      <c r="AM11" s="214">
        <f t="shared" ref="AM11:AM22" si="1">VLOOKUP($I11,$A$103:$E$110,4,FALSE)</f>
        <v>10320</v>
      </c>
      <c r="AN11" s="214">
        <f t="shared" ref="AN11:AN22" si="2">VLOOKUP($I11,$A$103:$E$110,5,FALSE)</f>
        <v>1420</v>
      </c>
      <c r="AO11" s="209"/>
      <c r="AP11" s="215">
        <f>IF(AI11&lt;S11,S11,AI11)</f>
        <v>4.0000000000000001E-3</v>
      </c>
      <c r="AQ11" s="215"/>
      <c r="AR11" s="215"/>
      <c r="AS11" s="447"/>
      <c r="AT11" s="215">
        <f t="shared" ref="AT11:AT20" si="3">IF(AI11&lt;S11,S11,AI11)</f>
        <v>4.0000000000000001E-3</v>
      </c>
      <c r="AU11" s="218">
        <v>9.634812286689419</v>
      </c>
      <c r="AV11" s="219">
        <f>AT11*AU11</f>
        <v>3.853924914675768E-2</v>
      </c>
      <c r="AW11" s="220" t="s">
        <v>484</v>
      </c>
      <c r="AX11" s="229" t="s">
        <v>624</v>
      </c>
      <c r="AY11" s="229" t="s">
        <v>626</v>
      </c>
      <c r="AZ11" s="229" t="s">
        <v>623</v>
      </c>
      <c r="BA11" s="229">
        <v>4.0000000000000001E-3</v>
      </c>
      <c r="BB11" s="229" t="s">
        <v>627</v>
      </c>
      <c r="BC11" s="229" t="s">
        <v>489</v>
      </c>
      <c r="BD11" s="229"/>
      <c r="BE11" s="229">
        <v>1588</v>
      </c>
      <c r="BF11" s="229" t="s">
        <v>199</v>
      </c>
      <c r="BG11" s="229" t="s">
        <v>209</v>
      </c>
      <c r="BH11" s="229" t="s">
        <v>628</v>
      </c>
      <c r="BI11" s="229">
        <v>3</v>
      </c>
      <c r="BJ11" s="229">
        <v>1</v>
      </c>
      <c r="BK11" s="229" t="s">
        <v>629</v>
      </c>
      <c r="BL11" s="229" t="s">
        <v>352</v>
      </c>
      <c r="BM11" s="458">
        <v>38706.375</v>
      </c>
      <c r="BN11" s="458">
        <v>38706.423611111109</v>
      </c>
      <c r="BO11" s="229">
        <v>585</v>
      </c>
      <c r="BP11" s="229">
        <v>609</v>
      </c>
      <c r="BQ11" s="229"/>
      <c r="BR11" s="229"/>
      <c r="BS11" s="229">
        <v>5.94</v>
      </c>
      <c r="BT11" s="229"/>
      <c r="BU11" s="229"/>
      <c r="BV11" s="229" t="s">
        <v>219</v>
      </c>
      <c r="BW11" s="229"/>
      <c r="BX11" s="229" t="s">
        <v>219</v>
      </c>
      <c r="BY11" s="229" t="b">
        <v>0</v>
      </c>
      <c r="BZ11" s="229"/>
      <c r="CA11" s="229"/>
      <c r="CB11" s="229" t="s">
        <v>219</v>
      </c>
      <c r="CC11" s="229"/>
      <c r="CD11" s="229" t="s">
        <v>219</v>
      </c>
      <c r="CE11" s="229" t="b">
        <v>0</v>
      </c>
      <c r="CF11" s="229"/>
      <c r="CG11" s="229">
        <v>4.0000000000000001E-3</v>
      </c>
      <c r="CH11" s="229" t="s">
        <v>627</v>
      </c>
      <c r="CI11" s="229" t="b">
        <v>0</v>
      </c>
      <c r="CJ11" s="229"/>
      <c r="CK11" s="229" t="s">
        <v>219</v>
      </c>
      <c r="CL11" s="229" t="s">
        <v>630</v>
      </c>
      <c r="CM11" s="229"/>
      <c r="CN11" s="229"/>
      <c r="CO11" s="223">
        <f t="shared" ref="CO11:CO19" si="4">CV11/CW11</f>
        <v>0</v>
      </c>
      <c r="CP11" s="229"/>
      <c r="CQ11" s="459"/>
      <c r="CR11" s="221">
        <f t="shared" ref="CR11:CR19" si="5">BP11*140000*60/1000000</f>
        <v>5115.6000000000004</v>
      </c>
      <c r="CS11" s="459"/>
      <c r="CT11" s="459"/>
      <c r="CU11" s="459"/>
      <c r="CV11" s="459"/>
      <c r="CW11" s="221">
        <f t="shared" ref="CW11:CW19" si="6">CV11+CR11</f>
        <v>5115.6000000000004</v>
      </c>
      <c r="CX11" s="459"/>
      <c r="CY11" s="459"/>
      <c r="CZ11" s="460">
        <f>AVERAGE(AV11:AV13)</f>
        <v>4.1750853242320814E-2</v>
      </c>
      <c r="DA11" s="363"/>
    </row>
    <row r="12" spans="1:105" s="50" customFormat="1" ht="15.75" thickBot="1">
      <c r="A12" s="190"/>
      <c r="B12" s="195" t="s">
        <v>201</v>
      </c>
      <c r="C12" s="201" t="s">
        <v>218</v>
      </c>
      <c r="D12" s="442" t="s">
        <v>933</v>
      </c>
      <c r="E12" s="202" t="s">
        <v>631</v>
      </c>
      <c r="F12" s="203" t="s">
        <v>625</v>
      </c>
      <c r="G12" s="200">
        <v>1588</v>
      </c>
      <c r="H12" s="444">
        <v>7</v>
      </c>
      <c r="I12" s="205" t="s">
        <v>503</v>
      </c>
      <c r="J12" s="445"/>
      <c r="K12" s="205"/>
      <c r="L12" s="210"/>
      <c r="M12" s="205" t="s">
        <v>201</v>
      </c>
      <c r="N12" s="200" t="s">
        <v>475</v>
      </c>
      <c r="O12" s="206"/>
      <c r="P12" s="200"/>
      <c r="Q12" s="200"/>
      <c r="R12" s="207" t="s">
        <v>218</v>
      </c>
      <c r="S12" s="208">
        <f t="shared" ref="S12:S16" si="7">ROUND((BN12-BM12)*24,0)*0.00000220462*0.028317*IF(AB12&lt;&gt;"",AB12,AL12)*IF(AD12&lt;&gt;"",20.9/(20.9-AD12),20.9/(20.9-6))</f>
        <v>8.0366297021597464E-4</v>
      </c>
      <c r="T12" s="202" t="s">
        <v>499</v>
      </c>
      <c r="U12" s="209"/>
      <c r="V12" s="210"/>
      <c r="W12" s="211"/>
      <c r="X12" s="211"/>
      <c r="Y12" s="211"/>
      <c r="Z12" s="211"/>
      <c r="AA12" s="202"/>
      <c r="AB12" s="212"/>
      <c r="AC12" s="210"/>
      <c r="AD12" s="210">
        <f t="shared" ref="AD12:AD22" si="8">BS12</f>
        <v>5.98</v>
      </c>
      <c r="AE12" s="210"/>
      <c r="AF12" s="446"/>
      <c r="AG12" s="210"/>
      <c r="AH12" s="210"/>
      <c r="AI12" s="209">
        <f t="shared" ref="AI12:AI22" si="9">CG12</f>
        <v>4.0000000000000001E-3</v>
      </c>
      <c r="AJ12" s="210" t="s">
        <v>192</v>
      </c>
      <c r="AK12" s="202"/>
      <c r="AL12" s="213">
        <f t="shared" si="0"/>
        <v>9190</v>
      </c>
      <c r="AM12" s="214">
        <f t="shared" si="1"/>
        <v>10320</v>
      </c>
      <c r="AN12" s="214">
        <f t="shared" si="2"/>
        <v>1420</v>
      </c>
      <c r="AO12" s="209"/>
      <c r="AP12" s="215">
        <f t="shared" ref="AP12:AP22" si="10">IF(AI12&lt;S12,S12,AI12)</f>
        <v>4.0000000000000001E-3</v>
      </c>
      <c r="AQ12" s="215"/>
      <c r="AR12" s="215"/>
      <c r="AS12" s="447"/>
      <c r="AT12" s="215">
        <f t="shared" si="3"/>
        <v>4.0000000000000001E-3</v>
      </c>
      <c r="AU12" s="218">
        <v>9.634812286689419</v>
      </c>
      <c r="AV12" s="219">
        <f t="shared" ref="AV12:AV22" si="11">AT12*AU12</f>
        <v>3.853924914675768E-2</v>
      </c>
      <c r="AW12" s="220" t="s">
        <v>484</v>
      </c>
      <c r="AX12" s="459" t="s">
        <v>631</v>
      </c>
      <c r="AY12" s="459" t="s">
        <v>626</v>
      </c>
      <c r="AZ12" s="459" t="s">
        <v>623</v>
      </c>
      <c r="BA12" s="459">
        <v>4.0000000000000001E-3</v>
      </c>
      <c r="BB12" s="459" t="s">
        <v>627</v>
      </c>
      <c r="BC12" s="459" t="s">
        <v>489</v>
      </c>
      <c r="BD12" s="459"/>
      <c r="BE12" s="459">
        <v>1588</v>
      </c>
      <c r="BF12" s="459" t="s">
        <v>199</v>
      </c>
      <c r="BG12" s="459" t="s">
        <v>209</v>
      </c>
      <c r="BH12" s="459" t="s">
        <v>628</v>
      </c>
      <c r="BI12" s="459">
        <v>3</v>
      </c>
      <c r="BJ12" s="459">
        <v>1</v>
      </c>
      <c r="BK12" s="459" t="s">
        <v>629</v>
      </c>
      <c r="BL12" s="459" t="s">
        <v>232</v>
      </c>
      <c r="BM12" s="461">
        <v>38706.454861111109</v>
      </c>
      <c r="BN12" s="461">
        <v>38706.503472222219</v>
      </c>
      <c r="BO12" s="459">
        <v>584.5</v>
      </c>
      <c r="BP12" s="459">
        <v>606.5</v>
      </c>
      <c r="BQ12" s="459"/>
      <c r="BR12" s="459"/>
      <c r="BS12" s="459">
        <v>5.98</v>
      </c>
      <c r="BT12" s="459"/>
      <c r="BU12" s="459"/>
      <c r="BV12" s="459" t="s">
        <v>219</v>
      </c>
      <c r="BW12" s="459"/>
      <c r="BX12" s="459" t="s">
        <v>219</v>
      </c>
      <c r="BY12" s="459" t="b">
        <v>0</v>
      </c>
      <c r="BZ12" s="459"/>
      <c r="CA12" s="459"/>
      <c r="CB12" s="459" t="s">
        <v>219</v>
      </c>
      <c r="CC12" s="459"/>
      <c r="CD12" s="459" t="s">
        <v>219</v>
      </c>
      <c r="CE12" s="459" t="b">
        <v>0</v>
      </c>
      <c r="CF12" s="459"/>
      <c r="CG12" s="459">
        <v>4.0000000000000001E-3</v>
      </c>
      <c r="CH12" s="459" t="s">
        <v>627</v>
      </c>
      <c r="CI12" s="459" t="b">
        <v>0</v>
      </c>
      <c r="CJ12" s="459"/>
      <c r="CK12" s="459" t="s">
        <v>632</v>
      </c>
      <c r="CL12" s="459" t="s">
        <v>630</v>
      </c>
      <c r="CM12" s="459"/>
      <c r="CN12" s="459"/>
      <c r="CO12" s="223">
        <f t="shared" si="4"/>
        <v>0</v>
      </c>
      <c r="CP12" s="459"/>
      <c r="CQ12" s="221"/>
      <c r="CR12" s="221">
        <f t="shared" si="5"/>
        <v>5094.6000000000004</v>
      </c>
      <c r="CS12" s="221"/>
      <c r="CT12" s="221"/>
      <c r="CU12" s="221"/>
      <c r="CV12" s="221"/>
      <c r="CW12" s="221">
        <f t="shared" si="6"/>
        <v>5094.6000000000004</v>
      </c>
      <c r="CX12" s="221"/>
      <c r="CY12" s="221"/>
      <c r="CZ12" s="366"/>
    </row>
    <row r="13" spans="1:105" s="50" customFormat="1">
      <c r="A13" s="190"/>
      <c r="B13" s="190" t="s">
        <v>201</v>
      </c>
      <c r="C13" s="201" t="s">
        <v>218</v>
      </c>
      <c r="D13" s="442" t="s">
        <v>933</v>
      </c>
      <c r="E13" s="202" t="s">
        <v>633</v>
      </c>
      <c r="F13" s="203" t="s">
        <v>625</v>
      </c>
      <c r="G13" s="200">
        <v>1588</v>
      </c>
      <c r="H13" s="444">
        <v>7</v>
      </c>
      <c r="I13" s="205" t="s">
        <v>503</v>
      </c>
      <c r="J13" s="445"/>
      <c r="K13" s="205"/>
      <c r="L13" s="210"/>
      <c r="M13" s="205" t="s">
        <v>201</v>
      </c>
      <c r="N13" s="200" t="s">
        <v>475</v>
      </c>
      <c r="O13" s="206"/>
      <c r="P13" s="200"/>
      <c r="Q13" s="200"/>
      <c r="R13" s="207" t="s">
        <v>218</v>
      </c>
      <c r="S13" s="208">
        <f t="shared" si="7"/>
        <v>8.1072694493727795E-4</v>
      </c>
      <c r="T13" s="202" t="s">
        <v>499</v>
      </c>
      <c r="U13" s="209"/>
      <c r="V13" s="210"/>
      <c r="W13" s="211"/>
      <c r="X13" s="211"/>
      <c r="Y13" s="211"/>
      <c r="Z13" s="211"/>
      <c r="AA13" s="202"/>
      <c r="AB13" s="212"/>
      <c r="AC13" s="210"/>
      <c r="AD13" s="210">
        <f t="shared" si="8"/>
        <v>6.11</v>
      </c>
      <c r="AE13" s="210"/>
      <c r="AF13" s="446"/>
      <c r="AG13" s="210"/>
      <c r="AH13" s="210"/>
      <c r="AI13" s="209">
        <f t="shared" si="9"/>
        <v>5.0000000000000001E-3</v>
      </c>
      <c r="AJ13" s="210" t="s">
        <v>192</v>
      </c>
      <c r="AK13" s="202"/>
      <c r="AL13" s="213">
        <f t="shared" si="0"/>
        <v>9190</v>
      </c>
      <c r="AM13" s="214">
        <f t="shared" si="1"/>
        <v>10320</v>
      </c>
      <c r="AN13" s="214">
        <f t="shared" si="2"/>
        <v>1420</v>
      </c>
      <c r="AO13" s="209"/>
      <c r="AP13" s="215">
        <f t="shared" si="10"/>
        <v>5.0000000000000001E-3</v>
      </c>
      <c r="AQ13" s="215"/>
      <c r="AR13" s="215"/>
      <c r="AS13" s="447"/>
      <c r="AT13" s="215">
        <f t="shared" si="3"/>
        <v>5.0000000000000001E-3</v>
      </c>
      <c r="AU13" s="218">
        <v>9.634812286689419</v>
      </c>
      <c r="AV13" s="219">
        <f t="shared" si="11"/>
        <v>4.8174061433447095E-2</v>
      </c>
      <c r="AW13" s="220" t="s">
        <v>484</v>
      </c>
      <c r="AX13" s="221" t="s">
        <v>633</v>
      </c>
      <c r="AY13" s="221" t="s">
        <v>626</v>
      </c>
      <c r="AZ13" s="221" t="s">
        <v>623</v>
      </c>
      <c r="BA13" s="221">
        <v>5.0000000000000001E-3</v>
      </c>
      <c r="BB13" s="221" t="s">
        <v>627</v>
      </c>
      <c r="BC13" s="221" t="s">
        <v>489</v>
      </c>
      <c r="BD13" s="221"/>
      <c r="BE13" s="221">
        <v>1588</v>
      </c>
      <c r="BF13" s="221" t="s">
        <v>199</v>
      </c>
      <c r="BG13" s="221" t="s">
        <v>209</v>
      </c>
      <c r="BH13" s="221" t="s">
        <v>628</v>
      </c>
      <c r="BI13" s="221">
        <v>3</v>
      </c>
      <c r="BJ13" s="221">
        <v>1</v>
      </c>
      <c r="BK13" s="221" t="s">
        <v>629</v>
      </c>
      <c r="BL13" s="221" t="s">
        <v>268</v>
      </c>
      <c r="BM13" s="222">
        <v>38706.520833333336</v>
      </c>
      <c r="BN13" s="222">
        <v>38706.569444444445</v>
      </c>
      <c r="BO13" s="221">
        <v>585.5</v>
      </c>
      <c r="BP13" s="221">
        <v>606.5</v>
      </c>
      <c r="BQ13" s="221"/>
      <c r="BR13" s="221"/>
      <c r="BS13" s="221">
        <v>6.11</v>
      </c>
      <c r="BT13" s="221"/>
      <c r="BU13" s="221"/>
      <c r="BV13" s="221" t="s">
        <v>219</v>
      </c>
      <c r="BW13" s="221"/>
      <c r="BX13" s="221" t="s">
        <v>219</v>
      </c>
      <c r="BY13" s="221" t="b">
        <v>0</v>
      </c>
      <c r="BZ13" s="221"/>
      <c r="CA13" s="221"/>
      <c r="CB13" s="221" t="s">
        <v>219</v>
      </c>
      <c r="CC13" s="221"/>
      <c r="CD13" s="221" t="s">
        <v>219</v>
      </c>
      <c r="CE13" s="221" t="b">
        <v>0</v>
      </c>
      <c r="CF13" s="221"/>
      <c r="CG13" s="221">
        <v>5.0000000000000001E-3</v>
      </c>
      <c r="CH13" s="221" t="s">
        <v>627</v>
      </c>
      <c r="CI13" s="221" t="b">
        <v>0</v>
      </c>
      <c r="CJ13" s="221"/>
      <c r="CK13" s="221" t="s">
        <v>219</v>
      </c>
      <c r="CL13" s="221" t="s">
        <v>630</v>
      </c>
      <c r="CM13" s="221"/>
      <c r="CN13" s="221"/>
      <c r="CO13" s="223">
        <f t="shared" si="4"/>
        <v>0</v>
      </c>
      <c r="CP13" s="221"/>
      <c r="CQ13" s="221"/>
      <c r="CR13" s="221">
        <f t="shared" si="5"/>
        <v>5094.6000000000004</v>
      </c>
      <c r="CS13" s="221"/>
      <c r="CT13" s="221"/>
      <c r="CU13" s="221"/>
      <c r="CV13" s="221"/>
      <c r="CW13" s="221">
        <f t="shared" si="6"/>
        <v>5094.6000000000004</v>
      </c>
      <c r="CX13" s="221"/>
      <c r="CY13" s="221"/>
      <c r="CZ13" s="366"/>
    </row>
    <row r="14" spans="1:105" s="194" customFormat="1" ht="15.75" thickBot="1">
      <c r="A14" s="190"/>
      <c r="B14" s="190" t="s">
        <v>201</v>
      </c>
      <c r="C14" s="201" t="s">
        <v>218</v>
      </c>
      <c r="D14" s="442" t="s">
        <v>933</v>
      </c>
      <c r="E14" s="202" t="s">
        <v>634</v>
      </c>
      <c r="F14" s="203" t="s">
        <v>625</v>
      </c>
      <c r="G14" s="200">
        <v>1588</v>
      </c>
      <c r="H14" s="444">
        <v>7</v>
      </c>
      <c r="I14" s="205" t="s">
        <v>503</v>
      </c>
      <c r="J14" s="445"/>
      <c r="K14" s="205"/>
      <c r="L14" s="210"/>
      <c r="M14" s="205" t="s">
        <v>201</v>
      </c>
      <c r="N14" s="200" t="s">
        <v>475</v>
      </c>
      <c r="O14" s="206"/>
      <c r="P14" s="200"/>
      <c r="Q14" s="200"/>
      <c r="R14" s="207" t="s">
        <v>218</v>
      </c>
      <c r="S14" s="208">
        <f t="shared" si="7"/>
        <v>7.8472850233130497E-4</v>
      </c>
      <c r="T14" s="202" t="s">
        <v>499</v>
      </c>
      <c r="U14" s="209"/>
      <c r="V14" s="210"/>
      <c r="W14" s="211"/>
      <c r="X14" s="211"/>
      <c r="Y14" s="211"/>
      <c r="Z14" s="211"/>
      <c r="AA14" s="202"/>
      <c r="AB14" s="212"/>
      <c r="AC14" s="210"/>
      <c r="AD14" s="210">
        <f t="shared" si="8"/>
        <v>5.62</v>
      </c>
      <c r="AE14" s="210"/>
      <c r="AF14" s="446"/>
      <c r="AG14" s="210"/>
      <c r="AH14" s="210"/>
      <c r="AI14" s="209">
        <f t="shared" si="9"/>
        <v>0.01</v>
      </c>
      <c r="AJ14" s="210" t="s">
        <v>192</v>
      </c>
      <c r="AK14" s="202"/>
      <c r="AL14" s="213">
        <f t="shared" si="0"/>
        <v>9190</v>
      </c>
      <c r="AM14" s="214">
        <f t="shared" si="1"/>
        <v>10320</v>
      </c>
      <c r="AN14" s="214">
        <f t="shared" si="2"/>
        <v>1420</v>
      </c>
      <c r="AO14" s="209"/>
      <c r="AP14" s="215">
        <f t="shared" si="10"/>
        <v>0.01</v>
      </c>
      <c r="AQ14" s="215"/>
      <c r="AR14" s="215"/>
      <c r="AS14" s="447"/>
      <c r="AT14" s="215">
        <f t="shared" si="3"/>
        <v>0.01</v>
      </c>
      <c r="AU14" s="218">
        <v>9.634812286689419</v>
      </c>
      <c r="AV14" s="219">
        <f t="shared" si="11"/>
        <v>9.634812286689419E-2</v>
      </c>
      <c r="AW14" s="220" t="s">
        <v>484</v>
      </c>
      <c r="AX14" s="221" t="s">
        <v>634</v>
      </c>
      <c r="AY14" s="221" t="s">
        <v>626</v>
      </c>
      <c r="AZ14" s="221" t="s">
        <v>623</v>
      </c>
      <c r="BA14" s="221">
        <v>0.01</v>
      </c>
      <c r="BB14" s="221" t="s">
        <v>627</v>
      </c>
      <c r="BC14" s="221" t="s">
        <v>489</v>
      </c>
      <c r="BD14" s="221"/>
      <c r="BE14" s="221">
        <v>1588</v>
      </c>
      <c r="BF14" s="221" t="s">
        <v>199</v>
      </c>
      <c r="BG14" s="221" t="s">
        <v>210</v>
      </c>
      <c r="BH14" s="221" t="s">
        <v>628</v>
      </c>
      <c r="BI14" s="221">
        <v>3</v>
      </c>
      <c r="BJ14" s="221">
        <v>1</v>
      </c>
      <c r="BK14" s="221" t="s">
        <v>629</v>
      </c>
      <c r="BL14" s="221" t="s">
        <v>352</v>
      </c>
      <c r="BM14" s="222">
        <v>38916.375</v>
      </c>
      <c r="BN14" s="222">
        <v>38916.423611111109</v>
      </c>
      <c r="BO14" s="221">
        <v>592</v>
      </c>
      <c r="BP14" s="221">
        <v>585</v>
      </c>
      <c r="BQ14" s="221"/>
      <c r="BR14" s="221"/>
      <c r="BS14" s="221">
        <v>5.62</v>
      </c>
      <c r="BT14" s="221"/>
      <c r="BU14" s="221"/>
      <c r="BV14" s="221" t="s">
        <v>219</v>
      </c>
      <c r="BW14" s="221"/>
      <c r="BX14" s="221" t="s">
        <v>219</v>
      </c>
      <c r="BY14" s="221" t="b">
        <v>0</v>
      </c>
      <c r="BZ14" s="221"/>
      <c r="CA14" s="221"/>
      <c r="CB14" s="221" t="s">
        <v>219</v>
      </c>
      <c r="CC14" s="221"/>
      <c r="CD14" s="221" t="s">
        <v>219</v>
      </c>
      <c r="CE14" s="221" t="b">
        <v>0</v>
      </c>
      <c r="CF14" s="221"/>
      <c r="CG14" s="221">
        <v>0.01</v>
      </c>
      <c r="CH14" s="221" t="s">
        <v>627</v>
      </c>
      <c r="CI14" s="221" t="b">
        <v>0</v>
      </c>
      <c r="CJ14" s="221"/>
      <c r="CK14" s="221" t="s">
        <v>219</v>
      </c>
      <c r="CL14" s="221" t="s">
        <v>630</v>
      </c>
      <c r="CM14" s="221"/>
      <c r="CN14" s="221"/>
      <c r="CO14" s="223">
        <f t="shared" si="4"/>
        <v>0</v>
      </c>
      <c r="CP14" s="221"/>
      <c r="CQ14" s="459"/>
      <c r="CR14" s="221">
        <f t="shared" si="5"/>
        <v>4914</v>
      </c>
      <c r="CS14" s="459"/>
      <c r="CT14" s="459"/>
      <c r="CU14" s="459"/>
      <c r="CV14" s="459"/>
      <c r="CW14" s="221">
        <f t="shared" si="6"/>
        <v>4914</v>
      </c>
      <c r="CX14" s="459"/>
      <c r="CY14" s="459"/>
      <c r="CZ14" s="460">
        <f>AVERAGE(AV14:AV16)</f>
        <v>8.0290102389078494E-2</v>
      </c>
    </row>
    <row r="15" spans="1:105" s="50" customFormat="1" ht="15.75" thickBot="1">
      <c r="A15" s="190"/>
      <c r="B15" s="190" t="s">
        <v>201</v>
      </c>
      <c r="C15" s="201" t="s">
        <v>218</v>
      </c>
      <c r="D15" s="442" t="s">
        <v>933</v>
      </c>
      <c r="E15" s="202" t="s">
        <v>635</v>
      </c>
      <c r="F15" s="203" t="s">
        <v>625</v>
      </c>
      <c r="G15" s="200">
        <v>1588</v>
      </c>
      <c r="H15" s="204">
        <v>7</v>
      </c>
      <c r="I15" s="205" t="s">
        <v>503</v>
      </c>
      <c r="J15" s="445"/>
      <c r="K15" s="200"/>
      <c r="L15" s="200"/>
      <c r="M15" s="205" t="s">
        <v>201</v>
      </c>
      <c r="N15" s="200" t="s">
        <v>475</v>
      </c>
      <c r="O15" s="206"/>
      <c r="P15" s="200"/>
      <c r="Q15" s="200"/>
      <c r="R15" s="207" t="s">
        <v>218</v>
      </c>
      <c r="S15" s="208">
        <f t="shared" si="7"/>
        <v>7.8370271343936862E-4</v>
      </c>
      <c r="T15" s="202" t="s">
        <v>499</v>
      </c>
      <c r="U15" s="209"/>
      <c r="V15" s="210"/>
      <c r="W15" s="211"/>
      <c r="X15" s="211"/>
      <c r="Y15" s="211"/>
      <c r="Z15" s="211"/>
      <c r="AA15" s="202"/>
      <c r="AB15" s="212"/>
      <c r="AC15" s="210"/>
      <c r="AD15" s="210">
        <f t="shared" si="8"/>
        <v>5.6</v>
      </c>
      <c r="AE15" s="210"/>
      <c r="AF15" s="446"/>
      <c r="AG15" s="210"/>
      <c r="AH15" s="210"/>
      <c r="AI15" s="209">
        <f t="shared" si="9"/>
        <v>8.0000000000000002E-3</v>
      </c>
      <c r="AJ15" s="210" t="s">
        <v>192</v>
      </c>
      <c r="AK15" s="202"/>
      <c r="AL15" s="213">
        <f t="shared" si="0"/>
        <v>9190</v>
      </c>
      <c r="AM15" s="214">
        <f t="shared" si="1"/>
        <v>10320</v>
      </c>
      <c r="AN15" s="214">
        <f t="shared" si="2"/>
        <v>1420</v>
      </c>
      <c r="AO15" s="209"/>
      <c r="AP15" s="215">
        <f t="shared" si="10"/>
        <v>8.0000000000000002E-3</v>
      </c>
      <c r="AQ15" s="448"/>
      <c r="AR15" s="215"/>
      <c r="AS15" s="224"/>
      <c r="AT15" s="215">
        <f t="shared" si="3"/>
        <v>8.0000000000000002E-3</v>
      </c>
      <c r="AU15" s="218">
        <v>9.634812286689419</v>
      </c>
      <c r="AV15" s="219">
        <f t="shared" si="11"/>
        <v>7.707849829351536E-2</v>
      </c>
      <c r="AW15" s="220" t="s">
        <v>484</v>
      </c>
      <c r="AX15" s="459" t="s">
        <v>635</v>
      </c>
      <c r="AY15" s="459" t="s">
        <v>626</v>
      </c>
      <c r="AZ15" s="459" t="s">
        <v>623</v>
      </c>
      <c r="BA15" s="459">
        <v>8.0000000000000002E-3</v>
      </c>
      <c r="BB15" s="459" t="s">
        <v>627</v>
      </c>
      <c r="BC15" s="459" t="s">
        <v>489</v>
      </c>
      <c r="BD15" s="459"/>
      <c r="BE15" s="459">
        <v>1588</v>
      </c>
      <c r="BF15" s="459" t="s">
        <v>199</v>
      </c>
      <c r="BG15" s="459" t="s">
        <v>210</v>
      </c>
      <c r="BH15" s="459" t="s">
        <v>628</v>
      </c>
      <c r="BI15" s="459">
        <v>3</v>
      </c>
      <c r="BJ15" s="459">
        <v>1</v>
      </c>
      <c r="BK15" s="459" t="s">
        <v>629</v>
      </c>
      <c r="BL15" s="459" t="s">
        <v>232</v>
      </c>
      <c r="BM15" s="461">
        <v>38916.430555555555</v>
      </c>
      <c r="BN15" s="461">
        <v>38916.476388888892</v>
      </c>
      <c r="BO15" s="459">
        <v>594</v>
      </c>
      <c r="BP15" s="459">
        <v>592</v>
      </c>
      <c r="BQ15" s="459"/>
      <c r="BR15" s="459"/>
      <c r="BS15" s="459">
        <v>5.6</v>
      </c>
      <c r="BT15" s="459"/>
      <c r="BU15" s="459"/>
      <c r="BV15" s="459" t="s">
        <v>219</v>
      </c>
      <c r="BW15" s="459"/>
      <c r="BX15" s="459" t="s">
        <v>219</v>
      </c>
      <c r="BY15" s="459" t="b">
        <v>0</v>
      </c>
      <c r="BZ15" s="459"/>
      <c r="CA15" s="459"/>
      <c r="CB15" s="459" t="s">
        <v>219</v>
      </c>
      <c r="CC15" s="459"/>
      <c r="CD15" s="459" t="s">
        <v>219</v>
      </c>
      <c r="CE15" s="459" t="b">
        <v>0</v>
      </c>
      <c r="CF15" s="459"/>
      <c r="CG15" s="459">
        <v>8.0000000000000002E-3</v>
      </c>
      <c r="CH15" s="459" t="s">
        <v>627</v>
      </c>
      <c r="CI15" s="459" t="b">
        <v>0</v>
      </c>
      <c r="CJ15" s="459"/>
      <c r="CK15" s="459" t="s">
        <v>219</v>
      </c>
      <c r="CL15" s="459" t="s">
        <v>630</v>
      </c>
      <c r="CM15" s="459"/>
      <c r="CN15" s="459"/>
      <c r="CO15" s="223">
        <f t="shared" si="4"/>
        <v>0</v>
      </c>
      <c r="CP15" s="459"/>
      <c r="CQ15" s="221"/>
      <c r="CR15" s="221">
        <f t="shared" si="5"/>
        <v>4972.8</v>
      </c>
      <c r="CS15" s="221"/>
      <c r="CT15" s="221"/>
      <c r="CU15" s="221"/>
      <c r="CV15" s="221"/>
      <c r="CW15" s="221">
        <f t="shared" si="6"/>
        <v>4972.8</v>
      </c>
      <c r="CX15" s="221"/>
      <c r="CY15" s="221"/>
      <c r="CZ15" s="366"/>
    </row>
    <row r="16" spans="1:105" s="198" customFormat="1" ht="15.75" customHeight="1">
      <c r="A16" s="197"/>
      <c r="B16" s="197" t="s">
        <v>201</v>
      </c>
      <c r="C16" s="201" t="s">
        <v>218</v>
      </c>
      <c r="D16" s="442" t="s">
        <v>933</v>
      </c>
      <c r="E16" s="443" t="s">
        <v>636</v>
      </c>
      <c r="F16" s="203" t="s">
        <v>625</v>
      </c>
      <c r="G16" s="449">
        <v>1588</v>
      </c>
      <c r="H16" s="450">
        <v>7</v>
      </c>
      <c r="I16" s="205" t="s">
        <v>503</v>
      </c>
      <c r="J16" s="449"/>
      <c r="K16" s="449"/>
      <c r="L16" s="449"/>
      <c r="M16" s="205" t="s">
        <v>201</v>
      </c>
      <c r="N16" s="200" t="s">
        <v>475</v>
      </c>
      <c r="O16" s="206"/>
      <c r="P16" s="449"/>
      <c r="Q16" s="449"/>
      <c r="R16" s="207" t="s">
        <v>218</v>
      </c>
      <c r="S16" s="208">
        <f t="shared" si="7"/>
        <v>7.796262363863679E-4</v>
      </c>
      <c r="T16" s="202" t="s">
        <v>499</v>
      </c>
      <c r="U16" s="209"/>
      <c r="V16" s="451"/>
      <c r="W16" s="452"/>
      <c r="X16" s="452"/>
      <c r="Y16" s="452"/>
      <c r="Z16" s="452"/>
      <c r="AA16" s="443"/>
      <c r="AB16" s="453"/>
      <c r="AC16" s="451"/>
      <c r="AD16" s="210">
        <f t="shared" si="8"/>
        <v>5.52</v>
      </c>
      <c r="AE16" s="451"/>
      <c r="AF16" s="451"/>
      <c r="AG16" s="451"/>
      <c r="AH16" s="451"/>
      <c r="AI16" s="209">
        <f t="shared" si="9"/>
        <v>7.0000000000000001E-3</v>
      </c>
      <c r="AJ16" s="210" t="s">
        <v>192</v>
      </c>
      <c r="AK16" s="443"/>
      <c r="AL16" s="213">
        <f t="shared" si="0"/>
        <v>9190</v>
      </c>
      <c r="AM16" s="214">
        <f t="shared" si="1"/>
        <v>10320</v>
      </c>
      <c r="AN16" s="214">
        <f t="shared" si="2"/>
        <v>1420</v>
      </c>
      <c r="AO16" s="454"/>
      <c r="AP16" s="215">
        <f t="shared" si="10"/>
        <v>7.0000000000000001E-3</v>
      </c>
      <c r="AQ16" s="455"/>
      <c r="AR16" s="456"/>
      <c r="AS16" s="457"/>
      <c r="AT16" s="215">
        <f t="shared" si="3"/>
        <v>7.0000000000000001E-3</v>
      </c>
      <c r="AU16" s="218">
        <v>9.634812286689419</v>
      </c>
      <c r="AV16" s="219">
        <f t="shared" si="11"/>
        <v>6.7443686006825931E-2</v>
      </c>
      <c r="AW16" s="220" t="s">
        <v>484</v>
      </c>
      <c r="AX16" s="221" t="s">
        <v>636</v>
      </c>
      <c r="AY16" s="221" t="s">
        <v>626</v>
      </c>
      <c r="AZ16" s="221" t="s">
        <v>623</v>
      </c>
      <c r="BA16" s="221">
        <v>7.0000000000000001E-3</v>
      </c>
      <c r="BB16" s="221" t="s">
        <v>627</v>
      </c>
      <c r="BC16" s="221" t="s">
        <v>489</v>
      </c>
      <c r="BD16" s="221"/>
      <c r="BE16" s="221">
        <v>1588</v>
      </c>
      <c r="BF16" s="221" t="s">
        <v>199</v>
      </c>
      <c r="BG16" s="221" t="s">
        <v>210</v>
      </c>
      <c r="BH16" s="221" t="s">
        <v>628</v>
      </c>
      <c r="BI16" s="221">
        <v>3</v>
      </c>
      <c r="BJ16" s="221">
        <v>1</v>
      </c>
      <c r="BK16" s="221" t="s">
        <v>629</v>
      </c>
      <c r="BL16" s="221" t="s">
        <v>268</v>
      </c>
      <c r="BM16" s="222">
        <v>38916.487500000003</v>
      </c>
      <c r="BN16" s="222">
        <v>38916.532638888886</v>
      </c>
      <c r="BO16" s="200">
        <v>593.5</v>
      </c>
      <c r="BP16" s="200">
        <v>590.5</v>
      </c>
      <c r="BQ16" s="221"/>
      <c r="BR16" s="221"/>
      <c r="BS16" s="221">
        <v>5.52</v>
      </c>
      <c r="BT16" s="221"/>
      <c r="BU16" s="221"/>
      <c r="BV16" s="221" t="s">
        <v>219</v>
      </c>
      <c r="BW16" s="221"/>
      <c r="BX16" s="221" t="s">
        <v>219</v>
      </c>
      <c r="BY16" s="221" t="b">
        <v>0</v>
      </c>
      <c r="BZ16" s="221"/>
      <c r="CA16" s="221"/>
      <c r="CB16" s="221" t="s">
        <v>219</v>
      </c>
      <c r="CC16" s="221"/>
      <c r="CD16" s="221" t="s">
        <v>219</v>
      </c>
      <c r="CE16" s="221" t="b">
        <v>0</v>
      </c>
      <c r="CF16" s="221"/>
      <c r="CG16" s="221">
        <v>7.0000000000000001E-3</v>
      </c>
      <c r="CH16" s="221" t="s">
        <v>627</v>
      </c>
      <c r="CI16" s="221" t="b">
        <v>0</v>
      </c>
      <c r="CJ16" s="221"/>
      <c r="CK16" s="221" t="s">
        <v>219</v>
      </c>
      <c r="CL16" s="221" t="s">
        <v>630</v>
      </c>
      <c r="CM16" s="221"/>
      <c r="CN16" s="221"/>
      <c r="CO16" s="223">
        <f t="shared" si="4"/>
        <v>0</v>
      </c>
      <c r="CP16" s="221"/>
      <c r="CQ16" s="462"/>
      <c r="CR16" s="221">
        <f t="shared" si="5"/>
        <v>4960.2</v>
      </c>
      <c r="CS16" s="462"/>
      <c r="CT16" s="462"/>
      <c r="CU16" s="462"/>
      <c r="CV16" s="462"/>
      <c r="CW16" s="221">
        <f t="shared" si="6"/>
        <v>4960.2</v>
      </c>
      <c r="CX16" s="462"/>
      <c r="CY16" s="462"/>
      <c r="CZ16" s="463"/>
    </row>
    <row r="17" spans="1:129" s="50" customFormat="1" ht="15.75" thickBot="1">
      <c r="A17" s="199" t="s">
        <v>637</v>
      </c>
      <c r="B17" s="200" t="s">
        <v>201</v>
      </c>
      <c r="C17" s="201" t="s">
        <v>218</v>
      </c>
      <c r="D17" s="201" t="s">
        <v>638</v>
      </c>
      <c r="E17" s="202" t="s">
        <v>639</v>
      </c>
      <c r="F17" s="203" t="s">
        <v>625</v>
      </c>
      <c r="G17" s="200">
        <v>1588</v>
      </c>
      <c r="H17" s="204">
        <v>7</v>
      </c>
      <c r="I17" s="205" t="s">
        <v>503</v>
      </c>
      <c r="J17" s="200"/>
      <c r="K17" s="205" t="s">
        <v>520</v>
      </c>
      <c r="L17" s="200"/>
      <c r="M17" s="205" t="s">
        <v>201</v>
      </c>
      <c r="N17" s="200" t="s">
        <v>475</v>
      </c>
      <c r="O17" s="206"/>
      <c r="P17" s="200"/>
      <c r="Q17" s="200"/>
      <c r="R17" s="207"/>
      <c r="S17" s="208"/>
      <c r="T17" s="202"/>
      <c r="U17" s="209"/>
      <c r="V17" s="210"/>
      <c r="W17" s="211"/>
      <c r="X17" s="211"/>
      <c r="Y17" s="211"/>
      <c r="Z17" s="211"/>
      <c r="AA17" s="202"/>
      <c r="AB17" s="212"/>
      <c r="AC17" s="210"/>
      <c r="AD17" s="210">
        <f t="shared" si="8"/>
        <v>6.46</v>
      </c>
      <c r="AE17" s="210"/>
      <c r="AF17" s="210"/>
      <c r="AG17" s="210"/>
      <c r="AH17" s="210"/>
      <c r="AI17" s="209">
        <f t="shared" si="9"/>
        <v>4.0000000000000001E-3</v>
      </c>
      <c r="AJ17" s="210" t="s">
        <v>192</v>
      </c>
      <c r="AK17" s="202"/>
      <c r="AL17" s="213">
        <f t="shared" si="0"/>
        <v>9190</v>
      </c>
      <c r="AM17" s="214">
        <f t="shared" si="1"/>
        <v>10320</v>
      </c>
      <c r="AN17" s="214">
        <f t="shared" si="2"/>
        <v>1420</v>
      </c>
      <c r="AO17" s="209"/>
      <c r="AP17" s="215">
        <f t="shared" si="10"/>
        <v>4.0000000000000001E-3</v>
      </c>
      <c r="AQ17" s="216"/>
      <c r="AR17" s="215"/>
      <c r="AS17" s="217"/>
      <c r="AT17" s="215">
        <f t="shared" si="3"/>
        <v>4.0000000000000001E-3</v>
      </c>
      <c r="AU17" s="218">
        <v>9.634812286689419</v>
      </c>
      <c r="AV17" s="219">
        <f t="shared" si="11"/>
        <v>3.853924914675768E-2</v>
      </c>
      <c r="AW17" s="220" t="s">
        <v>484</v>
      </c>
      <c r="AX17" s="221" t="s">
        <v>639</v>
      </c>
      <c r="AY17" s="221" t="s">
        <v>626</v>
      </c>
      <c r="AZ17" s="221" t="s">
        <v>623</v>
      </c>
      <c r="BA17" s="221">
        <v>4.0000000000000001E-3</v>
      </c>
      <c r="BB17" s="221" t="s">
        <v>627</v>
      </c>
      <c r="BC17" s="221" t="s">
        <v>489</v>
      </c>
      <c r="BD17" s="221" t="s">
        <v>640</v>
      </c>
      <c r="BE17" s="221">
        <v>1588</v>
      </c>
      <c r="BF17" s="221" t="s">
        <v>199</v>
      </c>
      <c r="BG17" s="221" t="s">
        <v>206</v>
      </c>
      <c r="BH17" s="221" t="s">
        <v>628</v>
      </c>
      <c r="BI17" s="221">
        <v>3</v>
      </c>
      <c r="BJ17" s="221">
        <v>1</v>
      </c>
      <c r="BK17" s="221" t="s">
        <v>629</v>
      </c>
      <c r="BL17" s="221" t="s">
        <v>352</v>
      </c>
      <c r="BM17" s="222">
        <v>39651.541666666664</v>
      </c>
      <c r="BN17" s="222">
        <v>39651.591666666667</v>
      </c>
      <c r="BO17" s="200">
        <v>573</v>
      </c>
      <c r="BP17" s="200">
        <v>240.5</v>
      </c>
      <c r="BQ17" s="221"/>
      <c r="BR17" s="221"/>
      <c r="BS17" s="221">
        <v>6.46</v>
      </c>
      <c r="BT17" s="221"/>
      <c r="BU17" s="221"/>
      <c r="BV17" s="221" t="s">
        <v>219</v>
      </c>
      <c r="BW17" s="221"/>
      <c r="BX17" s="221" t="s">
        <v>219</v>
      </c>
      <c r="BY17" s="221" t="b">
        <v>0</v>
      </c>
      <c r="BZ17" s="221"/>
      <c r="CA17" s="221"/>
      <c r="CB17" s="221" t="s">
        <v>219</v>
      </c>
      <c r="CC17" s="221"/>
      <c r="CD17" s="221" t="s">
        <v>219</v>
      </c>
      <c r="CE17" s="221" t="b">
        <v>0</v>
      </c>
      <c r="CF17" s="221"/>
      <c r="CG17" s="221">
        <v>4.0000000000000001E-3</v>
      </c>
      <c r="CH17" s="221" t="s">
        <v>627</v>
      </c>
      <c r="CI17" s="221" t="b">
        <v>0</v>
      </c>
      <c r="CJ17" s="221"/>
      <c r="CK17" s="221" t="s">
        <v>219</v>
      </c>
      <c r="CL17" s="221" t="s">
        <v>630</v>
      </c>
      <c r="CM17" s="221"/>
      <c r="CN17" s="221"/>
      <c r="CO17" s="223">
        <f t="shared" si="4"/>
        <v>0.62911694510739857</v>
      </c>
      <c r="CP17" s="221"/>
      <c r="CQ17" s="221"/>
      <c r="CR17" s="221">
        <f t="shared" si="5"/>
        <v>2020.2</v>
      </c>
      <c r="CS17" s="221"/>
      <c r="CT17" s="221">
        <v>3.2949999999999999</v>
      </c>
      <c r="CU17" s="221"/>
      <c r="CV17" s="221">
        <f>CT17*1000000*1040/1000000</f>
        <v>3426.8</v>
      </c>
      <c r="CW17" s="221">
        <f t="shared" si="6"/>
        <v>5447</v>
      </c>
      <c r="CX17" s="221"/>
      <c r="CY17" s="221"/>
      <c r="CZ17" s="367">
        <f>AVERAGE(AV17:AV19)</f>
        <v>3.5327645051194539E-2</v>
      </c>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row>
    <row r="18" spans="1:129" s="50" customFormat="1">
      <c r="A18" s="199" t="s">
        <v>641</v>
      </c>
      <c r="B18" s="200" t="s">
        <v>201</v>
      </c>
      <c r="C18" s="201" t="s">
        <v>218</v>
      </c>
      <c r="D18" s="201" t="s">
        <v>638</v>
      </c>
      <c r="E18" s="202" t="s">
        <v>642</v>
      </c>
      <c r="F18" s="203" t="s">
        <v>625</v>
      </c>
      <c r="G18" s="200">
        <v>1588</v>
      </c>
      <c r="H18" s="204">
        <v>7</v>
      </c>
      <c r="I18" s="205" t="s">
        <v>503</v>
      </c>
      <c r="J18" s="200"/>
      <c r="K18" s="205" t="s">
        <v>520</v>
      </c>
      <c r="L18" s="200"/>
      <c r="M18" s="205" t="s">
        <v>201</v>
      </c>
      <c r="N18" s="200" t="s">
        <v>475</v>
      </c>
      <c r="O18" s="206"/>
      <c r="P18" s="200"/>
      <c r="Q18" s="200"/>
      <c r="R18" s="207"/>
      <c r="S18" s="208"/>
      <c r="T18" s="202"/>
      <c r="U18" s="209"/>
      <c r="V18" s="210"/>
      <c r="W18" s="211"/>
      <c r="X18" s="211"/>
      <c r="Y18" s="211"/>
      <c r="Z18" s="211"/>
      <c r="AA18" s="202"/>
      <c r="AB18" s="212"/>
      <c r="AC18" s="210"/>
      <c r="AD18" s="210">
        <f t="shared" si="8"/>
        <v>6.18</v>
      </c>
      <c r="AE18" s="210"/>
      <c r="AF18" s="210"/>
      <c r="AG18" s="210"/>
      <c r="AH18" s="210"/>
      <c r="AI18" s="209">
        <f t="shared" si="9"/>
        <v>4.0000000000000001E-3</v>
      </c>
      <c r="AJ18" s="210" t="s">
        <v>192</v>
      </c>
      <c r="AK18" s="202"/>
      <c r="AL18" s="213">
        <f t="shared" si="0"/>
        <v>9190</v>
      </c>
      <c r="AM18" s="214">
        <f t="shared" si="1"/>
        <v>10320</v>
      </c>
      <c r="AN18" s="214">
        <f t="shared" si="2"/>
        <v>1420</v>
      </c>
      <c r="AO18" s="209"/>
      <c r="AP18" s="215">
        <f t="shared" si="10"/>
        <v>4.0000000000000001E-3</v>
      </c>
      <c r="AQ18" s="216"/>
      <c r="AR18" s="215"/>
      <c r="AS18" s="217"/>
      <c r="AT18" s="215">
        <f t="shared" si="3"/>
        <v>4.0000000000000001E-3</v>
      </c>
      <c r="AU18" s="218">
        <v>9.634812286689419</v>
      </c>
      <c r="AV18" s="219">
        <f t="shared" si="11"/>
        <v>3.853924914675768E-2</v>
      </c>
      <c r="AW18" s="220" t="s">
        <v>484</v>
      </c>
      <c r="AX18" s="221" t="s">
        <v>642</v>
      </c>
      <c r="AY18" s="221" t="s">
        <v>626</v>
      </c>
      <c r="AZ18" s="221" t="s">
        <v>623</v>
      </c>
      <c r="BA18" s="221">
        <v>4.0000000000000001E-3</v>
      </c>
      <c r="BB18" s="221" t="s">
        <v>627</v>
      </c>
      <c r="BC18" s="221" t="s">
        <v>489</v>
      </c>
      <c r="BD18" s="221" t="s">
        <v>640</v>
      </c>
      <c r="BE18" s="221">
        <v>1588</v>
      </c>
      <c r="BF18" s="221" t="s">
        <v>199</v>
      </c>
      <c r="BG18" s="221" t="s">
        <v>206</v>
      </c>
      <c r="BH18" s="221" t="s">
        <v>628</v>
      </c>
      <c r="BI18" s="221">
        <v>3</v>
      </c>
      <c r="BJ18" s="221">
        <v>1</v>
      </c>
      <c r="BK18" s="221" t="s">
        <v>629</v>
      </c>
      <c r="BL18" s="221" t="s">
        <v>232</v>
      </c>
      <c r="BM18" s="222">
        <v>39651.600694444445</v>
      </c>
      <c r="BN18" s="222">
        <v>39651.649305555555</v>
      </c>
      <c r="BO18" s="200">
        <v>576</v>
      </c>
      <c r="BP18" s="200">
        <v>252.5</v>
      </c>
      <c r="BQ18" s="221"/>
      <c r="BR18" s="221"/>
      <c r="BS18" s="221">
        <v>6.18</v>
      </c>
      <c r="BT18" s="221"/>
      <c r="BU18" s="221"/>
      <c r="BV18" s="221" t="s">
        <v>219</v>
      </c>
      <c r="BW18" s="221"/>
      <c r="BX18" s="221" t="s">
        <v>219</v>
      </c>
      <c r="BY18" s="221" t="b">
        <v>0</v>
      </c>
      <c r="BZ18" s="221"/>
      <c r="CA18" s="221"/>
      <c r="CB18" s="221" t="s">
        <v>219</v>
      </c>
      <c r="CC18" s="221"/>
      <c r="CD18" s="221" t="s">
        <v>219</v>
      </c>
      <c r="CE18" s="221" t="b">
        <v>0</v>
      </c>
      <c r="CF18" s="221"/>
      <c r="CG18" s="221">
        <v>4.0000000000000001E-3</v>
      </c>
      <c r="CH18" s="221" t="s">
        <v>627</v>
      </c>
      <c r="CI18" s="221" t="b">
        <v>0</v>
      </c>
      <c r="CJ18" s="221"/>
      <c r="CK18" s="221" t="s">
        <v>219</v>
      </c>
      <c r="CL18" s="221" t="s">
        <v>630</v>
      </c>
      <c r="CM18" s="221"/>
      <c r="CN18" s="221"/>
      <c r="CO18" s="223">
        <f t="shared" si="4"/>
        <v>0.61768629006092501</v>
      </c>
      <c r="CP18" s="221"/>
      <c r="CQ18" s="221"/>
      <c r="CR18" s="221">
        <f t="shared" si="5"/>
        <v>2121</v>
      </c>
      <c r="CS18" s="221"/>
      <c r="CT18" s="221">
        <v>3.2949999999999999</v>
      </c>
      <c r="CU18" s="221"/>
      <c r="CV18" s="221">
        <f>CT18*1000000*1040/1000000</f>
        <v>3426.8</v>
      </c>
      <c r="CW18" s="221">
        <f t="shared" si="6"/>
        <v>5547.8</v>
      </c>
      <c r="CX18" s="221"/>
      <c r="CY18" s="221"/>
      <c r="CZ18" s="366"/>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row>
    <row r="19" spans="1:129" s="50" customFormat="1">
      <c r="A19" s="199" t="s">
        <v>643</v>
      </c>
      <c r="B19" s="200" t="s">
        <v>201</v>
      </c>
      <c r="C19" s="201" t="s">
        <v>218</v>
      </c>
      <c r="D19" s="201" t="s">
        <v>638</v>
      </c>
      <c r="E19" s="202" t="s">
        <v>644</v>
      </c>
      <c r="F19" s="203" t="s">
        <v>625</v>
      </c>
      <c r="G19" s="200">
        <v>1588</v>
      </c>
      <c r="H19" s="204">
        <v>7</v>
      </c>
      <c r="I19" s="205" t="s">
        <v>503</v>
      </c>
      <c r="J19" s="200"/>
      <c r="K19" s="205" t="s">
        <v>520</v>
      </c>
      <c r="L19" s="200"/>
      <c r="M19" s="205" t="s">
        <v>201</v>
      </c>
      <c r="N19" s="200" t="s">
        <v>475</v>
      </c>
      <c r="O19" s="206"/>
      <c r="P19" s="200"/>
      <c r="Q19" s="200"/>
      <c r="R19" s="207"/>
      <c r="S19" s="208"/>
      <c r="T19" s="202"/>
      <c r="U19" s="200"/>
      <c r="V19" s="200"/>
      <c r="W19" s="200"/>
      <c r="X19" s="200"/>
      <c r="Y19" s="200"/>
      <c r="Z19" s="200"/>
      <c r="AA19" s="224"/>
      <c r="AB19" s="225"/>
      <c r="AC19" s="210"/>
      <c r="AD19" s="210">
        <f t="shared" si="8"/>
        <v>9.1300000000000008</v>
      </c>
      <c r="AE19" s="210"/>
      <c r="AF19" s="210"/>
      <c r="AG19" s="210"/>
      <c r="AH19" s="210"/>
      <c r="AI19" s="209">
        <f t="shared" si="9"/>
        <v>3.0000000000000001E-3</v>
      </c>
      <c r="AJ19" s="210" t="s">
        <v>192</v>
      </c>
      <c r="AK19" s="210"/>
      <c r="AL19" s="213">
        <f t="shared" si="0"/>
        <v>9190</v>
      </c>
      <c r="AM19" s="214">
        <f t="shared" si="1"/>
        <v>10320</v>
      </c>
      <c r="AN19" s="214">
        <f t="shared" si="2"/>
        <v>1420</v>
      </c>
      <c r="AO19" s="200"/>
      <c r="AP19" s="215">
        <f t="shared" si="10"/>
        <v>3.0000000000000001E-3</v>
      </c>
      <c r="AQ19" s="200"/>
      <c r="AR19" s="200"/>
      <c r="AS19" s="224"/>
      <c r="AT19" s="215">
        <f t="shared" si="3"/>
        <v>3.0000000000000001E-3</v>
      </c>
      <c r="AU19" s="218">
        <v>9.634812286689419</v>
      </c>
      <c r="AV19" s="219">
        <f t="shared" si="11"/>
        <v>2.8904436860068258E-2</v>
      </c>
      <c r="AW19" s="220" t="s">
        <v>484</v>
      </c>
      <c r="AX19" s="221" t="s">
        <v>644</v>
      </c>
      <c r="AY19" s="221" t="s">
        <v>626</v>
      </c>
      <c r="AZ19" s="221" t="s">
        <v>623</v>
      </c>
      <c r="BA19" s="221">
        <v>3.0000000000000001E-3</v>
      </c>
      <c r="BB19" s="221" t="s">
        <v>627</v>
      </c>
      <c r="BC19" s="221" t="s">
        <v>489</v>
      </c>
      <c r="BD19" s="221" t="s">
        <v>640</v>
      </c>
      <c r="BE19" s="221">
        <v>1588</v>
      </c>
      <c r="BF19" s="221" t="s">
        <v>199</v>
      </c>
      <c r="BG19" s="221" t="s">
        <v>206</v>
      </c>
      <c r="BH19" s="221" t="s">
        <v>628</v>
      </c>
      <c r="BI19" s="221">
        <v>3</v>
      </c>
      <c r="BJ19" s="221">
        <v>1</v>
      </c>
      <c r="BK19" s="221" t="s">
        <v>629</v>
      </c>
      <c r="BL19" s="221" t="s">
        <v>268</v>
      </c>
      <c r="BM19" s="222">
        <v>39651.697916666664</v>
      </c>
      <c r="BN19" s="222">
        <v>39651.745138888888</v>
      </c>
      <c r="BO19" s="200">
        <v>247</v>
      </c>
      <c r="BP19" s="200">
        <v>0</v>
      </c>
      <c r="BQ19" s="221"/>
      <c r="BR19" s="221"/>
      <c r="BS19" s="221">
        <v>9.1300000000000008</v>
      </c>
      <c r="BT19" s="221"/>
      <c r="BU19" s="221"/>
      <c r="BV19" s="221" t="s">
        <v>219</v>
      </c>
      <c r="BW19" s="221"/>
      <c r="BX19" s="221" t="s">
        <v>219</v>
      </c>
      <c r="BY19" s="221" t="b">
        <v>0</v>
      </c>
      <c r="BZ19" s="221"/>
      <c r="CA19" s="221"/>
      <c r="CB19" s="221" t="s">
        <v>219</v>
      </c>
      <c r="CC19" s="221"/>
      <c r="CD19" s="221" t="s">
        <v>219</v>
      </c>
      <c r="CE19" s="221" t="b">
        <v>0</v>
      </c>
      <c r="CF19" s="221"/>
      <c r="CG19" s="221">
        <v>3.0000000000000001E-3</v>
      </c>
      <c r="CH19" s="221" t="s">
        <v>627</v>
      </c>
      <c r="CI19" s="221" t="b">
        <v>0</v>
      </c>
      <c r="CJ19" s="221"/>
      <c r="CK19" s="221" t="s">
        <v>219</v>
      </c>
      <c r="CL19" s="221" t="s">
        <v>630</v>
      </c>
      <c r="CM19" s="221">
        <v>0</v>
      </c>
      <c r="CN19" s="221" t="s">
        <v>645</v>
      </c>
      <c r="CO19" s="223">
        <f t="shared" si="4"/>
        <v>1</v>
      </c>
      <c r="CP19" s="221"/>
      <c r="CQ19" s="221">
        <f>(11649+10455)/2</f>
        <v>11052</v>
      </c>
      <c r="CR19" s="221">
        <f t="shared" si="5"/>
        <v>0</v>
      </c>
      <c r="CS19" s="221"/>
      <c r="CT19" s="221">
        <v>2.5350000000000001</v>
      </c>
      <c r="CU19" s="226">
        <f>CQ19*BO19/1000*0.963</f>
        <v>2628.8397719999998</v>
      </c>
      <c r="CV19" s="221">
        <f>CT19*1000000*1040/1000000</f>
        <v>2636.4</v>
      </c>
      <c r="CW19" s="221">
        <f t="shared" si="6"/>
        <v>2636.4</v>
      </c>
      <c r="CX19" s="221"/>
      <c r="CY19" s="221"/>
      <c r="CZ19" s="366"/>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row>
    <row r="20" spans="1:129" ht="15.75" thickBot="1">
      <c r="A20" s="227" t="s">
        <v>646</v>
      </c>
      <c r="B20" s="200" t="s">
        <v>201</v>
      </c>
      <c r="C20" s="201" t="s">
        <v>218</v>
      </c>
      <c r="D20" s="201" t="s">
        <v>638</v>
      </c>
      <c r="E20" s="228" t="s">
        <v>647</v>
      </c>
      <c r="F20" s="203" t="s">
        <v>625</v>
      </c>
      <c r="G20" s="229">
        <v>1588</v>
      </c>
      <c r="H20" s="230">
        <v>7</v>
      </c>
      <c r="I20" s="205" t="s">
        <v>503</v>
      </c>
      <c r="J20" s="229"/>
      <c r="K20" s="229"/>
      <c r="L20" s="229"/>
      <c r="M20" s="205" t="s">
        <v>201</v>
      </c>
      <c r="N20" s="200" t="s">
        <v>475</v>
      </c>
      <c r="O20" s="206"/>
      <c r="P20" s="229"/>
      <c r="Q20" s="229"/>
      <c r="R20" s="207"/>
      <c r="S20" s="208"/>
      <c r="T20" s="202"/>
      <c r="U20" s="229"/>
      <c r="V20" s="229"/>
      <c r="W20" s="229"/>
      <c r="X20" s="229"/>
      <c r="Y20" s="229"/>
      <c r="Z20" s="229"/>
      <c r="AA20" s="231"/>
      <c r="AB20" s="232"/>
      <c r="AC20" s="86"/>
      <c r="AD20" s="210">
        <f t="shared" si="8"/>
        <v>8.4</v>
      </c>
      <c r="AE20" s="233">
        <f>(9.36+7.82)/2</f>
        <v>8.59</v>
      </c>
      <c r="AF20" s="86"/>
      <c r="AG20" s="86"/>
      <c r="AH20" s="86"/>
      <c r="AI20" s="209">
        <f t="shared" si="9"/>
        <v>2.2000000000000001E-3</v>
      </c>
      <c r="AJ20" s="210" t="s">
        <v>192</v>
      </c>
      <c r="AK20" s="86"/>
      <c r="AL20" s="213">
        <v>9190</v>
      </c>
      <c r="AM20" s="214">
        <f t="shared" si="1"/>
        <v>10320</v>
      </c>
      <c r="AN20" s="214">
        <f t="shared" si="2"/>
        <v>1420</v>
      </c>
      <c r="AO20" s="229">
        <f>AI20/AL20/20.9*(20.9-AD20)</f>
        <v>1.431762212931676E-7</v>
      </c>
      <c r="AP20" s="215">
        <f t="shared" si="10"/>
        <v>2.2000000000000001E-3</v>
      </c>
      <c r="AQ20" s="229"/>
      <c r="AR20" s="234">
        <f>AO20*AN20*100/AE20</f>
        <v>2.3668246127624909E-3</v>
      </c>
      <c r="AS20" s="231"/>
      <c r="AT20" s="215">
        <f t="shared" si="3"/>
        <v>2.2000000000000001E-3</v>
      </c>
      <c r="AU20" s="218">
        <v>9.634812286689419</v>
      </c>
      <c r="AV20" s="235">
        <f t="shared" si="11"/>
        <v>2.1196587030716724E-2</v>
      </c>
      <c r="AW20" s="187" t="s">
        <v>484</v>
      </c>
      <c r="AX20" s="50" t="s">
        <v>647</v>
      </c>
      <c r="AY20" s="50" t="s">
        <v>626</v>
      </c>
      <c r="AZ20" s="50" t="s">
        <v>623</v>
      </c>
      <c r="BA20" s="50">
        <v>2.2000000000000001E-3</v>
      </c>
      <c r="BB20" s="50" t="s">
        <v>627</v>
      </c>
      <c r="BC20" s="50" t="s">
        <v>489</v>
      </c>
      <c r="BD20" s="50"/>
      <c r="BE20" s="50">
        <v>1588</v>
      </c>
      <c r="BF20" s="50" t="s">
        <v>199</v>
      </c>
      <c r="BG20" s="50" t="s">
        <v>203</v>
      </c>
      <c r="BH20" s="50" t="s">
        <v>628</v>
      </c>
      <c r="BI20" s="50">
        <v>3</v>
      </c>
      <c r="BJ20" s="50">
        <v>1</v>
      </c>
      <c r="BK20" s="50" t="s">
        <v>629</v>
      </c>
      <c r="BL20" s="50" t="s">
        <v>352</v>
      </c>
      <c r="BM20" s="196">
        <v>39773.444444444445</v>
      </c>
      <c r="BN20" s="196">
        <v>39773.493055555555</v>
      </c>
      <c r="BO20" s="50"/>
      <c r="BP20" s="177">
        <f>(226+141)/2</f>
        <v>183.5</v>
      </c>
      <c r="BQ20" s="50"/>
      <c r="BR20" s="50"/>
      <c r="BS20" s="50">
        <v>8.4</v>
      </c>
      <c r="BT20" s="50"/>
      <c r="BU20" s="50"/>
      <c r="BV20" s="50" t="s">
        <v>219</v>
      </c>
      <c r="BW20" s="50"/>
      <c r="BX20" s="50" t="s">
        <v>219</v>
      </c>
      <c r="BY20" s="50" t="b">
        <v>0</v>
      </c>
      <c r="BZ20" s="50"/>
      <c r="CA20" s="50"/>
      <c r="CB20" s="50" t="s">
        <v>219</v>
      </c>
      <c r="CC20" s="50"/>
      <c r="CD20" s="50" t="s">
        <v>219</v>
      </c>
      <c r="CE20" s="50" t="b">
        <v>0</v>
      </c>
      <c r="CF20" s="50"/>
      <c r="CG20" s="50">
        <v>2.2000000000000001E-3</v>
      </c>
      <c r="CH20" s="50" t="s">
        <v>627</v>
      </c>
      <c r="CI20" s="50" t="b">
        <v>0</v>
      </c>
      <c r="CJ20" s="50"/>
      <c r="CK20" s="50" t="s">
        <v>219</v>
      </c>
      <c r="CL20" s="50" t="s">
        <v>630</v>
      </c>
      <c r="CM20" s="50"/>
      <c r="CN20" s="50"/>
      <c r="CO20" s="50"/>
      <c r="CP20" s="50"/>
      <c r="CZ20" s="367">
        <f>AVERAGE(AV20:AV22)</f>
        <v>9.9559726962457334E-3</v>
      </c>
    </row>
    <row r="21" spans="1:129">
      <c r="A21" s="227" t="s">
        <v>646</v>
      </c>
      <c r="B21" s="200" t="s">
        <v>201</v>
      </c>
      <c r="C21" s="201" t="s">
        <v>218</v>
      </c>
      <c r="D21" s="201" t="s">
        <v>638</v>
      </c>
      <c r="E21" s="228" t="s">
        <v>648</v>
      </c>
      <c r="F21" s="203" t="s">
        <v>625</v>
      </c>
      <c r="G21" s="229">
        <v>1588</v>
      </c>
      <c r="H21" s="230">
        <v>7</v>
      </c>
      <c r="I21" s="205" t="s">
        <v>503</v>
      </c>
      <c r="J21" s="229"/>
      <c r="K21" s="229"/>
      <c r="L21" s="229"/>
      <c r="M21" s="205" t="s">
        <v>201</v>
      </c>
      <c r="N21" s="200" t="s">
        <v>475</v>
      </c>
      <c r="O21" s="206"/>
      <c r="P21" s="229"/>
      <c r="Q21" s="229"/>
      <c r="R21" s="207"/>
      <c r="S21" s="208"/>
      <c r="T21" s="202"/>
      <c r="U21" s="229"/>
      <c r="V21" s="229"/>
      <c r="W21" s="229"/>
      <c r="X21" s="229"/>
      <c r="Y21" s="229"/>
      <c r="Z21" s="229"/>
      <c r="AA21" s="231"/>
      <c r="AB21" s="232"/>
      <c r="AC21" s="229"/>
      <c r="AD21" s="210">
        <f t="shared" si="8"/>
        <v>9</v>
      </c>
      <c r="AE21" s="233">
        <f>(7.94+7.89)/2</f>
        <v>7.915</v>
      </c>
      <c r="AF21" s="229"/>
      <c r="AG21" s="229"/>
      <c r="AH21" s="229"/>
      <c r="AI21" s="209">
        <f t="shared" si="9"/>
        <v>4.0000000000000002E-4</v>
      </c>
      <c r="AJ21" s="210" t="s">
        <v>192</v>
      </c>
      <c r="AK21" s="229"/>
      <c r="AL21" s="213">
        <v>9190</v>
      </c>
      <c r="AM21" s="214">
        <f t="shared" si="1"/>
        <v>10320</v>
      </c>
      <c r="AN21" s="214">
        <f t="shared" si="2"/>
        <v>1420</v>
      </c>
      <c r="AO21" s="229">
        <f>AI21/AL21/20.9*(20.9-AD21)</f>
        <v>2.478250230383556E-8</v>
      </c>
      <c r="AP21" s="215">
        <f t="shared" si="10"/>
        <v>4.0000000000000002E-4</v>
      </c>
      <c r="AQ21" s="229"/>
      <c r="AR21" s="234">
        <f>AO21*AN21*100/AE21</f>
        <v>4.4461343362535053E-4</v>
      </c>
      <c r="AS21" s="231"/>
      <c r="AT21" s="215">
        <f>AI21</f>
        <v>4.0000000000000002E-4</v>
      </c>
      <c r="AU21" s="218">
        <v>9.634812286689419</v>
      </c>
      <c r="AV21" s="235">
        <f t="shared" si="11"/>
        <v>3.8539249146757677E-3</v>
      </c>
      <c r="AW21" s="187" t="s">
        <v>484</v>
      </c>
      <c r="AX21" t="s">
        <v>648</v>
      </c>
      <c r="AY21" t="s">
        <v>626</v>
      </c>
      <c r="AZ21" t="s">
        <v>623</v>
      </c>
      <c r="BA21">
        <v>4.0000000000000002E-4</v>
      </c>
      <c r="BB21" t="s">
        <v>627</v>
      </c>
      <c r="BC21" t="s">
        <v>489</v>
      </c>
      <c r="BE21">
        <v>1588</v>
      </c>
      <c r="BF21" t="s">
        <v>199</v>
      </c>
      <c r="BG21" t="s">
        <v>203</v>
      </c>
      <c r="BH21" t="s">
        <v>628</v>
      </c>
      <c r="BI21">
        <v>3</v>
      </c>
      <c r="BJ21">
        <v>1</v>
      </c>
      <c r="BK21" t="s">
        <v>629</v>
      </c>
      <c r="BL21" t="s">
        <v>232</v>
      </c>
      <c r="BM21" s="193">
        <v>39773.517361111109</v>
      </c>
      <c r="BN21" s="193">
        <v>39773.565972222219</v>
      </c>
      <c r="BP21" s="177">
        <v>142.5</v>
      </c>
      <c r="BS21">
        <v>9</v>
      </c>
      <c r="BV21" t="s">
        <v>219</v>
      </c>
      <c r="BX21" t="s">
        <v>219</v>
      </c>
      <c r="BY21" t="b">
        <v>0</v>
      </c>
      <c r="CB21" t="s">
        <v>219</v>
      </c>
      <c r="CD21" t="s">
        <v>219</v>
      </c>
      <c r="CE21" t="b">
        <v>0</v>
      </c>
      <c r="CG21">
        <v>4.0000000000000002E-4</v>
      </c>
      <c r="CH21" t="s">
        <v>627</v>
      </c>
      <c r="CI21" t="b">
        <v>0</v>
      </c>
      <c r="CK21" t="s">
        <v>219</v>
      </c>
      <c r="CL21" t="s">
        <v>630</v>
      </c>
      <c r="CZ21" s="53"/>
    </row>
    <row r="22" spans="1:129">
      <c r="A22" s="227" t="s">
        <v>646</v>
      </c>
      <c r="B22" s="200" t="s">
        <v>201</v>
      </c>
      <c r="C22" s="201" t="s">
        <v>218</v>
      </c>
      <c r="D22" s="201" t="s">
        <v>638</v>
      </c>
      <c r="E22" s="228" t="s">
        <v>649</v>
      </c>
      <c r="F22" s="203" t="s">
        <v>625</v>
      </c>
      <c r="G22" s="229">
        <v>1588</v>
      </c>
      <c r="H22" s="230">
        <v>7</v>
      </c>
      <c r="I22" s="205" t="s">
        <v>503</v>
      </c>
      <c r="J22" s="229"/>
      <c r="K22" s="229"/>
      <c r="L22" s="229"/>
      <c r="M22" s="205" t="s">
        <v>201</v>
      </c>
      <c r="N22" s="200" t="s">
        <v>475</v>
      </c>
      <c r="O22" s="206"/>
      <c r="P22" s="229"/>
      <c r="Q22" s="229"/>
      <c r="R22" s="207"/>
      <c r="S22" s="208"/>
      <c r="T22" s="202"/>
      <c r="U22" s="229"/>
      <c r="V22" s="229"/>
      <c r="W22" s="229"/>
      <c r="X22" s="229"/>
      <c r="Y22" s="229"/>
      <c r="Z22" s="229"/>
      <c r="AA22" s="231"/>
      <c r="AB22" s="232"/>
      <c r="AC22" s="229"/>
      <c r="AD22" s="210">
        <f t="shared" si="8"/>
        <v>9</v>
      </c>
      <c r="AE22" s="233">
        <f>(7.89+7.98)/2</f>
        <v>7.9350000000000005</v>
      </c>
      <c r="AF22" s="229"/>
      <c r="AG22" s="229"/>
      <c r="AH22" s="229"/>
      <c r="AI22" s="209">
        <f t="shared" si="9"/>
        <v>5.0000000000000001E-4</v>
      </c>
      <c r="AJ22" s="210" t="s">
        <v>192</v>
      </c>
      <c r="AK22" s="229"/>
      <c r="AL22" s="213">
        <v>9190</v>
      </c>
      <c r="AM22" s="214">
        <f t="shared" si="1"/>
        <v>10320</v>
      </c>
      <c r="AN22" s="214">
        <f t="shared" si="2"/>
        <v>1420</v>
      </c>
      <c r="AO22" s="229">
        <f>AI22/AL22/20.9*(20.9-AD22)</f>
        <v>3.0978127879794453E-8</v>
      </c>
      <c r="AP22" s="215">
        <f t="shared" si="10"/>
        <v>5.0000000000000001E-4</v>
      </c>
      <c r="AQ22" s="229"/>
      <c r="AR22" s="234">
        <f>AO22*AN22*100/AE22</f>
        <v>5.543659935640595E-4</v>
      </c>
      <c r="AS22" s="231"/>
      <c r="AT22" s="215">
        <f>AI22</f>
        <v>5.0000000000000001E-4</v>
      </c>
      <c r="AU22" s="218">
        <v>9.634812286689419</v>
      </c>
      <c r="AV22" s="235">
        <f t="shared" si="11"/>
        <v>4.81740614334471E-3</v>
      </c>
      <c r="AW22" s="187" t="s">
        <v>484</v>
      </c>
      <c r="AX22" t="s">
        <v>649</v>
      </c>
      <c r="AY22" t="s">
        <v>626</v>
      </c>
      <c r="AZ22" t="s">
        <v>623</v>
      </c>
      <c r="BA22">
        <v>5.0000000000000001E-4</v>
      </c>
      <c r="BB22" t="s">
        <v>627</v>
      </c>
      <c r="BC22" t="s">
        <v>489</v>
      </c>
      <c r="BE22">
        <v>1588</v>
      </c>
      <c r="BF22" t="s">
        <v>199</v>
      </c>
      <c r="BG22" t="s">
        <v>203</v>
      </c>
      <c r="BH22" t="s">
        <v>628</v>
      </c>
      <c r="BI22">
        <v>3</v>
      </c>
      <c r="BJ22">
        <v>1</v>
      </c>
      <c r="BK22" t="s">
        <v>629</v>
      </c>
      <c r="BL22" t="s">
        <v>268</v>
      </c>
      <c r="BM22" s="193">
        <v>39773.579861111109</v>
      </c>
      <c r="BN22" s="193">
        <v>39773.628472222219</v>
      </c>
      <c r="BP22" s="177">
        <v>141.5</v>
      </c>
      <c r="BS22">
        <v>9</v>
      </c>
      <c r="BV22" t="s">
        <v>219</v>
      </c>
      <c r="BX22" t="s">
        <v>219</v>
      </c>
      <c r="BY22" t="b">
        <v>0</v>
      </c>
      <c r="CB22" t="s">
        <v>219</v>
      </c>
      <c r="CD22" t="s">
        <v>219</v>
      </c>
      <c r="CE22" t="b">
        <v>0</v>
      </c>
      <c r="CG22">
        <v>5.0000000000000001E-4</v>
      </c>
      <c r="CH22" t="s">
        <v>627</v>
      </c>
      <c r="CI22" t="b">
        <v>0</v>
      </c>
      <c r="CK22" t="s">
        <v>219</v>
      </c>
      <c r="CL22" t="s">
        <v>630</v>
      </c>
      <c r="CZ22" s="53"/>
    </row>
    <row r="23" spans="1:129">
      <c r="AD23" s="76"/>
      <c r="AF23"/>
      <c r="AT23" s="192"/>
      <c r="AW23" s="187" t="s">
        <v>484</v>
      </c>
      <c r="AX23" s="92">
        <v>1</v>
      </c>
      <c r="AY23" s="92">
        <v>2</v>
      </c>
      <c r="AZ23" s="92">
        <v>3</v>
      </c>
      <c r="BA23" s="92">
        <v>4</v>
      </c>
      <c r="BB23" s="92">
        <v>5</v>
      </c>
      <c r="BC23" s="92">
        <v>6</v>
      </c>
      <c r="BD23" s="92">
        <v>7</v>
      </c>
      <c r="BE23" s="92">
        <v>8</v>
      </c>
      <c r="BF23" s="92">
        <v>9</v>
      </c>
      <c r="BG23" s="92">
        <v>10</v>
      </c>
      <c r="BH23" s="92">
        <v>11</v>
      </c>
      <c r="BI23" s="92">
        <v>12</v>
      </c>
      <c r="BJ23" s="92">
        <v>13</v>
      </c>
      <c r="BK23" s="92">
        <v>14</v>
      </c>
      <c r="BL23" s="92">
        <v>15</v>
      </c>
      <c r="BM23" s="92">
        <v>16</v>
      </c>
      <c r="BN23" s="92">
        <v>17</v>
      </c>
      <c r="BO23" s="92">
        <v>18</v>
      </c>
      <c r="BP23" s="92">
        <v>19</v>
      </c>
      <c r="BQ23" s="92">
        <v>20</v>
      </c>
      <c r="BR23" s="92">
        <v>21</v>
      </c>
      <c r="BS23" s="92">
        <v>22</v>
      </c>
      <c r="BT23" s="92">
        <v>23</v>
      </c>
      <c r="BU23" s="92">
        <v>24</v>
      </c>
      <c r="BV23" s="92">
        <v>25</v>
      </c>
      <c r="BW23" s="92">
        <v>26</v>
      </c>
      <c r="BX23" s="92">
        <v>27</v>
      </c>
      <c r="BY23" s="92">
        <v>28</v>
      </c>
      <c r="BZ23" s="92">
        <v>29</v>
      </c>
      <c r="CA23" s="92">
        <v>30</v>
      </c>
      <c r="CB23" s="92">
        <v>31</v>
      </c>
      <c r="CC23" s="92">
        <v>32</v>
      </c>
      <c r="CD23" s="92">
        <v>33</v>
      </c>
      <c r="CE23" s="92">
        <v>34</v>
      </c>
      <c r="CF23" s="92">
        <v>35</v>
      </c>
      <c r="CZ23" s="53"/>
    </row>
    <row r="24" spans="1:129">
      <c r="AD24" s="76"/>
      <c r="AF24"/>
      <c r="AP24" s="192"/>
      <c r="AW24" s="187" t="s">
        <v>484</v>
      </c>
      <c r="BA24" s="236"/>
      <c r="BB24" s="236"/>
      <c r="BC24" s="236"/>
      <c r="BD24" s="236"/>
      <c r="BE24" s="236"/>
      <c r="BF24" s="236"/>
      <c r="BG24" s="236" t="s">
        <v>650</v>
      </c>
      <c r="BH24" s="236" t="s">
        <v>651</v>
      </c>
      <c r="BI24" s="236" t="s">
        <v>652</v>
      </c>
      <c r="BJ24" s="236" t="s">
        <v>652</v>
      </c>
      <c r="BK24" s="236"/>
      <c r="BL24" s="236"/>
      <c r="BM24" s="236"/>
      <c r="BN24" s="237"/>
      <c r="BO24" s="237"/>
      <c r="BP24" s="236"/>
      <c r="BQ24" s="236"/>
      <c r="BR24" s="236"/>
      <c r="BS24" s="236"/>
      <c r="BT24" s="236"/>
      <c r="BU24" s="236"/>
      <c r="BV24" s="236"/>
      <c r="BW24" s="236"/>
      <c r="BX24" s="236"/>
      <c r="BY24" s="236"/>
      <c r="BZ24" s="236"/>
      <c r="CA24" s="236"/>
      <c r="CB24" s="236"/>
      <c r="CC24" s="236"/>
      <c r="CD24" s="236"/>
      <c r="CE24" s="236"/>
      <c r="CF24" s="236"/>
      <c r="CZ24" s="53"/>
    </row>
    <row r="25" spans="1:129">
      <c r="AD25" s="166"/>
      <c r="AE25" s="92"/>
      <c r="AF25"/>
      <c r="AJ25" s="238"/>
      <c r="AW25" s="187" t="s">
        <v>484</v>
      </c>
      <c r="BA25" s="239" t="s">
        <v>579</v>
      </c>
      <c r="BB25" s="239" t="s">
        <v>580</v>
      </c>
      <c r="BC25" s="239" t="s">
        <v>581</v>
      </c>
      <c r="BD25" s="239" t="s">
        <v>585</v>
      </c>
      <c r="BE25" s="239" t="s">
        <v>586</v>
      </c>
      <c r="BF25" s="239" t="s">
        <v>587</v>
      </c>
      <c r="BG25" s="239" t="s">
        <v>499</v>
      </c>
      <c r="BH25" s="239" t="s">
        <v>499</v>
      </c>
      <c r="BI25" s="239" t="s">
        <v>499</v>
      </c>
      <c r="BJ25" s="239" t="s">
        <v>653</v>
      </c>
      <c r="BK25" s="239" t="s">
        <v>588</v>
      </c>
      <c r="BL25" s="239" t="s">
        <v>654</v>
      </c>
      <c r="BM25" s="239" t="s">
        <v>591</v>
      </c>
      <c r="BN25" s="240" t="s">
        <v>655</v>
      </c>
      <c r="BO25" s="240" t="s">
        <v>656</v>
      </c>
      <c r="BP25" s="239" t="s">
        <v>657</v>
      </c>
      <c r="BQ25" s="239" t="s">
        <v>658</v>
      </c>
      <c r="BR25" s="239" t="s">
        <v>659</v>
      </c>
      <c r="BS25" s="239" t="s">
        <v>660</v>
      </c>
      <c r="BT25" s="239" t="s">
        <v>592</v>
      </c>
      <c r="BU25" s="239" t="s">
        <v>593</v>
      </c>
      <c r="BV25" s="239" t="s">
        <v>594</v>
      </c>
      <c r="BW25" s="239" t="s">
        <v>661</v>
      </c>
      <c r="BX25" s="239" t="s">
        <v>662</v>
      </c>
      <c r="BY25" s="239" t="s">
        <v>595</v>
      </c>
      <c r="BZ25" s="239" t="s">
        <v>663</v>
      </c>
      <c r="CA25" s="239" t="s">
        <v>664</v>
      </c>
      <c r="CB25" s="239" t="s">
        <v>665</v>
      </c>
      <c r="CC25" s="239" t="s">
        <v>589</v>
      </c>
      <c r="CD25" s="239" t="s">
        <v>666</v>
      </c>
      <c r="CE25" s="239" t="s">
        <v>590</v>
      </c>
      <c r="CF25" s="239" t="s">
        <v>667</v>
      </c>
      <c r="CZ25" s="53"/>
    </row>
    <row r="26" spans="1:129" ht="15.75" thickBot="1">
      <c r="A26" s="241" t="s">
        <v>668</v>
      </c>
      <c r="B26" s="241" t="s">
        <v>201</v>
      </c>
      <c r="C26" s="241" t="s">
        <v>218</v>
      </c>
      <c r="D26" s="241" t="s">
        <v>638</v>
      </c>
      <c r="E26" s="86" t="str">
        <f t="shared" ref="E26:E55" si="12">AX26</f>
        <v>3_fPM_T1_R1</v>
      </c>
      <c r="F26" s="229" t="s">
        <v>212</v>
      </c>
      <c r="G26" s="229">
        <f t="shared" ref="G26:G55" si="13">BA26</f>
        <v>617</v>
      </c>
      <c r="H26" s="229" t="s">
        <v>669</v>
      </c>
      <c r="I26" s="229" t="str">
        <f t="shared" ref="I26:I55" si="14">CA26</f>
        <v>Number 6 Fuel Oil</v>
      </c>
      <c r="J26" s="242">
        <v>1</v>
      </c>
      <c r="K26" s="229"/>
      <c r="L26" s="229"/>
      <c r="M26" s="229" t="s">
        <v>201</v>
      </c>
      <c r="N26" s="229" t="s">
        <v>475</v>
      </c>
      <c r="O26" s="229" t="str">
        <f t="shared" ref="O26:O55" si="15">BY26</f>
        <v>Method 17</v>
      </c>
      <c r="P26" s="229"/>
      <c r="Q26" s="229"/>
      <c r="R26" s="229"/>
      <c r="S26" s="234">
        <f t="shared" ref="S26:S55" si="16">BH26</f>
        <v>7.3562279236946877E-4</v>
      </c>
      <c r="T26" s="229">
        <f>T22</f>
        <v>0</v>
      </c>
      <c r="U26" s="229"/>
      <c r="V26" s="229"/>
      <c r="W26" s="229"/>
      <c r="X26" s="229"/>
      <c r="Y26" s="229"/>
      <c r="Z26" s="229"/>
      <c r="AA26" s="229"/>
      <c r="AB26" s="229"/>
      <c r="AC26" s="229"/>
      <c r="AD26" s="210">
        <f t="shared" ref="AD26:AD55" si="17">BT26</f>
        <v>4.5999999999999996</v>
      </c>
      <c r="AE26" s="86">
        <f t="shared" ref="AE26:AE55" si="18">BU26</f>
        <v>13.1</v>
      </c>
      <c r="AF26" s="243"/>
      <c r="AG26" s="229"/>
      <c r="AH26" s="229"/>
      <c r="AI26" s="243">
        <f t="shared" ref="AI26:AI55" si="19">BG26</f>
        <v>4.9000000000000002E-2</v>
      </c>
      <c r="AJ26" s="229" t="s">
        <v>192</v>
      </c>
      <c r="AK26" s="229"/>
      <c r="AL26" s="229">
        <v>9190</v>
      </c>
      <c r="AM26" s="229">
        <v>10320</v>
      </c>
      <c r="AN26" s="229">
        <f>AN22</f>
        <v>1420</v>
      </c>
      <c r="AO26" s="229"/>
      <c r="AP26" s="244">
        <f t="shared" ref="AP26:AP55" si="20">IF(AI26&lt;S26,S26,AI26)</f>
        <v>4.9000000000000002E-2</v>
      </c>
      <c r="AQ26" s="229"/>
      <c r="AR26" s="229"/>
      <c r="AS26" s="229"/>
      <c r="AT26" s="244">
        <f t="shared" ref="AT26:AT55" si="21">IF(AI26&lt;S26,S26,AI26)</f>
        <v>4.9000000000000002E-2</v>
      </c>
      <c r="AU26" s="86">
        <v>10.130000000000001</v>
      </c>
      <c r="AV26" s="245">
        <f t="shared" ref="AV26:AV55" si="22">AT26*AU26</f>
        <v>0.49637000000000003</v>
      </c>
      <c r="AW26" s="187" t="s">
        <v>484</v>
      </c>
      <c r="AX26" t="s">
        <v>624</v>
      </c>
      <c r="BA26">
        <v>617</v>
      </c>
      <c r="BB26" t="s">
        <v>670</v>
      </c>
      <c r="BC26" t="s">
        <v>671</v>
      </c>
      <c r="BD26" t="s">
        <v>352</v>
      </c>
      <c r="BE26" s="246">
        <v>38433.356944444444</v>
      </c>
      <c r="BF26" s="246">
        <v>38433.402083333334</v>
      </c>
      <c r="BG26">
        <v>4.9000000000000002E-2</v>
      </c>
      <c r="BH26">
        <v>7.3562279236946877E-4</v>
      </c>
      <c r="BI26">
        <v>4.9000000000000002E-2</v>
      </c>
      <c r="BJ26" s="49">
        <f>BI26*$AU$26</f>
        <v>0.49637000000000003</v>
      </c>
      <c r="BK26">
        <v>404</v>
      </c>
      <c r="BL26">
        <v>383</v>
      </c>
      <c r="BM26">
        <v>10.37</v>
      </c>
      <c r="BN26" s="172">
        <v>838655</v>
      </c>
      <c r="BO26" s="172" t="s">
        <v>672</v>
      </c>
      <c r="BP26">
        <v>68</v>
      </c>
      <c r="BQ26">
        <v>29.92</v>
      </c>
      <c r="BT26">
        <v>4.5999999999999996</v>
      </c>
      <c r="BU26">
        <v>13.1</v>
      </c>
      <c r="BV26">
        <v>300</v>
      </c>
      <c r="BW26">
        <v>29.9</v>
      </c>
      <c r="BY26" t="s">
        <v>673</v>
      </c>
      <c r="BZ26" t="s">
        <v>674</v>
      </c>
      <c r="CA26" t="s">
        <v>675</v>
      </c>
      <c r="CB26">
        <v>404</v>
      </c>
      <c r="CC26">
        <v>191500</v>
      </c>
      <c r="CD26">
        <v>0.05</v>
      </c>
      <c r="CE26">
        <v>18330</v>
      </c>
      <c r="CF26">
        <v>1</v>
      </c>
      <c r="CZ26" s="367">
        <f>AVERAGE(AV26:AV31)</f>
        <v>0.35454999999999998</v>
      </c>
    </row>
    <row r="27" spans="1:129">
      <c r="A27" s="241" t="s">
        <v>668</v>
      </c>
      <c r="B27" s="241" t="s">
        <v>201</v>
      </c>
      <c r="C27" s="241" t="s">
        <v>218</v>
      </c>
      <c r="D27" s="241" t="s">
        <v>638</v>
      </c>
      <c r="E27" s="86" t="str">
        <f t="shared" si="12"/>
        <v>3_fPM_T1_R2</v>
      </c>
      <c r="F27" s="229" t="s">
        <v>212</v>
      </c>
      <c r="G27" s="229">
        <f t="shared" si="13"/>
        <v>617</v>
      </c>
      <c r="H27" s="229" t="s">
        <v>669</v>
      </c>
      <c r="I27" s="229" t="str">
        <f t="shared" si="14"/>
        <v>Number 6 Fuel Oil</v>
      </c>
      <c r="J27" s="242">
        <v>1</v>
      </c>
      <c r="K27" s="229"/>
      <c r="L27" s="229"/>
      <c r="M27" s="229" t="s">
        <v>201</v>
      </c>
      <c r="N27" s="229" t="s">
        <v>475</v>
      </c>
      <c r="O27" s="229" t="str">
        <f t="shared" si="15"/>
        <v>Method 17</v>
      </c>
      <c r="P27" s="229"/>
      <c r="Q27" s="229"/>
      <c r="R27" s="229"/>
      <c r="S27" s="234">
        <f t="shared" si="16"/>
        <v>7.4476096370325101E-4</v>
      </c>
      <c r="T27" s="229">
        <f>T26</f>
        <v>0</v>
      </c>
      <c r="U27" s="229"/>
      <c r="V27" s="229"/>
      <c r="W27" s="229"/>
      <c r="X27" s="229"/>
      <c r="Y27" s="229"/>
      <c r="Z27" s="229"/>
      <c r="AA27" s="229"/>
      <c r="AB27" s="229"/>
      <c r="AC27" s="229"/>
      <c r="AD27" s="210">
        <f t="shared" si="17"/>
        <v>4.8</v>
      </c>
      <c r="AE27" s="86">
        <f t="shared" si="18"/>
        <v>12.9</v>
      </c>
      <c r="AF27" s="243"/>
      <c r="AG27" s="229"/>
      <c r="AH27" s="229"/>
      <c r="AI27" s="243">
        <f t="shared" si="19"/>
        <v>2.5000000000000001E-2</v>
      </c>
      <c r="AJ27" s="229" t="s">
        <v>192</v>
      </c>
      <c r="AK27" s="229"/>
      <c r="AL27" s="229">
        <v>9190</v>
      </c>
      <c r="AM27" s="229">
        <v>10320</v>
      </c>
      <c r="AN27" s="229">
        <f t="shared" ref="AN27:AN55" si="23">AN26</f>
        <v>1420</v>
      </c>
      <c r="AO27" s="229"/>
      <c r="AP27" s="244">
        <f t="shared" si="20"/>
        <v>2.5000000000000001E-2</v>
      </c>
      <c r="AQ27" s="229"/>
      <c r="AR27" s="229"/>
      <c r="AS27" s="229"/>
      <c r="AT27" s="244">
        <f t="shared" si="21"/>
        <v>2.5000000000000001E-2</v>
      </c>
      <c r="AU27" s="86">
        <v>10.130000000000001</v>
      </c>
      <c r="AV27" s="245">
        <f t="shared" si="22"/>
        <v>0.25325000000000003</v>
      </c>
      <c r="AW27" s="187" t="s">
        <v>484</v>
      </c>
      <c r="AX27" t="s">
        <v>631</v>
      </c>
      <c r="BA27">
        <v>617</v>
      </c>
      <c r="BB27" t="s">
        <v>670</v>
      </c>
      <c r="BC27" t="s">
        <v>671</v>
      </c>
      <c r="BD27" t="s">
        <v>232</v>
      </c>
      <c r="BE27" s="246">
        <v>38433.409722222219</v>
      </c>
      <c r="BF27" s="246">
        <v>38433.454861111109</v>
      </c>
      <c r="BG27">
        <v>2.5000000000000001E-2</v>
      </c>
      <c r="BH27">
        <v>7.4476096370325101E-4</v>
      </c>
      <c r="BI27">
        <v>2.5000000000000001E-2</v>
      </c>
      <c r="BJ27" s="49">
        <f t="shared" ref="BJ27:BJ55" si="24">BI27*$AU$26</f>
        <v>0.25325000000000003</v>
      </c>
      <c r="BK27">
        <v>403</v>
      </c>
      <c r="BL27">
        <v>383</v>
      </c>
      <c r="BM27">
        <v>9.6199999999999992</v>
      </c>
      <c r="BN27" s="172">
        <v>838364</v>
      </c>
      <c r="BO27" s="172" t="s">
        <v>672</v>
      </c>
      <c r="BP27">
        <v>68</v>
      </c>
      <c r="BQ27">
        <v>29.92</v>
      </c>
      <c r="BT27">
        <v>4.8</v>
      </c>
      <c r="BU27">
        <v>12.9</v>
      </c>
      <c r="BV27">
        <v>300</v>
      </c>
      <c r="BW27">
        <v>29.9</v>
      </c>
      <c r="BY27" t="s">
        <v>673</v>
      </c>
      <c r="BZ27" t="s">
        <v>676</v>
      </c>
      <c r="CA27" t="s">
        <v>675</v>
      </c>
      <c r="CB27">
        <v>403</v>
      </c>
      <c r="CC27">
        <v>191500</v>
      </c>
      <c r="CD27">
        <v>0.05</v>
      </c>
      <c r="CE27">
        <v>18330</v>
      </c>
      <c r="CF27">
        <v>1</v>
      </c>
      <c r="CZ27" s="53"/>
    </row>
    <row r="28" spans="1:129">
      <c r="A28" s="241" t="s">
        <v>668</v>
      </c>
      <c r="B28" s="241" t="s">
        <v>201</v>
      </c>
      <c r="C28" s="241" t="s">
        <v>218</v>
      </c>
      <c r="D28" s="241" t="s">
        <v>638</v>
      </c>
      <c r="E28" s="86" t="str">
        <f t="shared" si="12"/>
        <v>3_fPM_T1_R3</v>
      </c>
      <c r="F28" s="229" t="s">
        <v>212</v>
      </c>
      <c r="G28" s="229">
        <f t="shared" si="13"/>
        <v>617</v>
      </c>
      <c r="H28" s="229" t="s">
        <v>669</v>
      </c>
      <c r="I28" s="229" t="str">
        <f t="shared" si="14"/>
        <v>Number 6 Fuel Oil</v>
      </c>
      <c r="J28" s="242">
        <v>1</v>
      </c>
      <c r="K28" s="229"/>
      <c r="L28" s="229"/>
      <c r="M28" s="229" t="s">
        <v>201</v>
      </c>
      <c r="N28" s="229" t="s">
        <v>475</v>
      </c>
      <c r="O28" s="229" t="str">
        <f t="shared" si="15"/>
        <v>Method 17</v>
      </c>
      <c r="P28" s="229"/>
      <c r="Q28" s="229"/>
      <c r="R28" s="229"/>
      <c r="S28" s="234">
        <f t="shared" si="16"/>
        <v>7.4476096370325101E-4</v>
      </c>
      <c r="T28" s="229">
        <f t="shared" ref="T28:T55" si="25">T27</f>
        <v>0</v>
      </c>
      <c r="U28" s="229"/>
      <c r="V28" s="229"/>
      <c r="W28" s="229"/>
      <c r="X28" s="229"/>
      <c r="Y28" s="229"/>
      <c r="Z28" s="229"/>
      <c r="AA28" s="229"/>
      <c r="AB28" s="229"/>
      <c r="AC28" s="229"/>
      <c r="AD28" s="210">
        <f t="shared" si="17"/>
        <v>4.8</v>
      </c>
      <c r="AE28" s="86">
        <f t="shared" si="18"/>
        <v>13</v>
      </c>
      <c r="AF28" s="243"/>
      <c r="AG28" s="229"/>
      <c r="AH28" s="229"/>
      <c r="AI28" s="243">
        <f t="shared" si="19"/>
        <v>2.1000000000000001E-2</v>
      </c>
      <c r="AJ28" s="229" t="s">
        <v>192</v>
      </c>
      <c r="AK28" s="229"/>
      <c r="AL28" s="229">
        <v>9190</v>
      </c>
      <c r="AM28" s="229">
        <v>10320</v>
      </c>
      <c r="AN28" s="229">
        <f t="shared" si="23"/>
        <v>1420</v>
      </c>
      <c r="AO28" s="229"/>
      <c r="AP28" s="244">
        <f t="shared" si="20"/>
        <v>2.1000000000000001E-2</v>
      </c>
      <c r="AQ28" s="229"/>
      <c r="AR28" s="229"/>
      <c r="AS28" s="229"/>
      <c r="AT28" s="244">
        <f t="shared" si="21"/>
        <v>2.1000000000000001E-2</v>
      </c>
      <c r="AU28" s="86">
        <v>10.130000000000001</v>
      </c>
      <c r="AV28" s="245">
        <f t="shared" si="22"/>
        <v>0.21273000000000003</v>
      </c>
      <c r="AW28" s="187" t="s">
        <v>484</v>
      </c>
      <c r="AX28" t="s">
        <v>633</v>
      </c>
      <c r="BA28">
        <v>617</v>
      </c>
      <c r="BB28" t="s">
        <v>670</v>
      </c>
      <c r="BC28" t="s">
        <v>671</v>
      </c>
      <c r="BD28" t="s">
        <v>268</v>
      </c>
      <c r="BE28" s="246">
        <v>38433.458333333336</v>
      </c>
      <c r="BF28" s="246">
        <v>38433.502083333333</v>
      </c>
      <c r="BG28">
        <v>2.1000000000000001E-2</v>
      </c>
      <c r="BH28">
        <v>7.4476096370325101E-4</v>
      </c>
      <c r="BI28">
        <v>2.1000000000000001E-2</v>
      </c>
      <c r="BJ28" s="49">
        <f t="shared" si="24"/>
        <v>0.21273000000000003</v>
      </c>
      <c r="BK28">
        <v>403</v>
      </c>
      <c r="BL28">
        <v>383</v>
      </c>
      <c r="BM28">
        <v>11.72</v>
      </c>
      <c r="BN28" s="172">
        <v>830046</v>
      </c>
      <c r="BO28" s="172" t="s">
        <v>672</v>
      </c>
      <c r="BP28">
        <v>68</v>
      </c>
      <c r="BQ28">
        <v>29.92</v>
      </c>
      <c r="BT28">
        <v>4.8</v>
      </c>
      <c r="BU28">
        <v>13</v>
      </c>
      <c r="BV28">
        <v>300</v>
      </c>
      <c r="BW28">
        <v>29.9</v>
      </c>
      <c r="BY28" t="s">
        <v>673</v>
      </c>
      <c r="BZ28" t="s">
        <v>676</v>
      </c>
      <c r="CA28" t="s">
        <v>675</v>
      </c>
      <c r="CB28">
        <v>403</v>
      </c>
      <c r="CC28">
        <v>191500</v>
      </c>
      <c r="CD28">
        <v>0.05</v>
      </c>
      <c r="CE28">
        <v>18330</v>
      </c>
      <c r="CF28">
        <v>1</v>
      </c>
      <c r="CZ28" s="53"/>
    </row>
    <row r="29" spans="1:129" ht="15.75" thickBot="1">
      <c r="A29" s="241" t="s">
        <v>668</v>
      </c>
      <c r="B29" s="241" t="s">
        <v>201</v>
      </c>
      <c r="C29" s="241" t="s">
        <v>218</v>
      </c>
      <c r="D29" s="241" t="s">
        <v>638</v>
      </c>
      <c r="E29" s="86" t="str">
        <f t="shared" si="12"/>
        <v>3_fPM_T1_R4</v>
      </c>
      <c r="F29" s="229" t="s">
        <v>212</v>
      </c>
      <c r="G29" s="229">
        <f t="shared" si="13"/>
        <v>617</v>
      </c>
      <c r="H29" s="229" t="s">
        <v>669</v>
      </c>
      <c r="I29" s="229" t="str">
        <f t="shared" si="14"/>
        <v>Number 6 Fuel Oil</v>
      </c>
      <c r="J29" s="242">
        <v>1</v>
      </c>
      <c r="K29" s="229"/>
      <c r="L29" s="229"/>
      <c r="M29" s="229" t="s">
        <v>201</v>
      </c>
      <c r="N29" s="229" t="s">
        <v>475</v>
      </c>
      <c r="O29" s="229" t="str">
        <f t="shared" si="15"/>
        <v>Method 17</v>
      </c>
      <c r="P29" s="229"/>
      <c r="Q29" s="229"/>
      <c r="R29" s="229"/>
      <c r="S29" s="234">
        <f t="shared" si="16"/>
        <v>7.4476096370325101E-4</v>
      </c>
      <c r="T29" s="229">
        <f t="shared" si="25"/>
        <v>0</v>
      </c>
      <c r="U29" s="229"/>
      <c r="V29" s="229"/>
      <c r="W29" s="229"/>
      <c r="X29" s="229"/>
      <c r="Y29" s="229"/>
      <c r="Z29" s="229"/>
      <c r="AA29" s="229"/>
      <c r="AB29" s="229"/>
      <c r="AC29" s="229"/>
      <c r="AD29" s="210">
        <f t="shared" si="17"/>
        <v>4.8</v>
      </c>
      <c r="AE29" s="86">
        <f t="shared" si="18"/>
        <v>13</v>
      </c>
      <c r="AF29" s="243"/>
      <c r="AG29" s="229"/>
      <c r="AH29" s="229"/>
      <c r="AI29" s="243">
        <f t="shared" si="19"/>
        <v>2.1999999999999999E-2</v>
      </c>
      <c r="AJ29" s="229" t="s">
        <v>192</v>
      </c>
      <c r="AK29" s="229"/>
      <c r="AL29" s="229">
        <v>9190</v>
      </c>
      <c r="AM29" s="229">
        <v>10320</v>
      </c>
      <c r="AN29" s="229">
        <f t="shared" si="23"/>
        <v>1420</v>
      </c>
      <c r="AO29" s="229"/>
      <c r="AP29" s="244">
        <f t="shared" si="20"/>
        <v>2.1999999999999999E-2</v>
      </c>
      <c r="AQ29" s="229"/>
      <c r="AR29" s="229"/>
      <c r="AS29" s="229"/>
      <c r="AT29" s="244">
        <f t="shared" si="21"/>
        <v>2.1999999999999999E-2</v>
      </c>
      <c r="AU29" s="86">
        <v>10.130000000000001</v>
      </c>
      <c r="AV29" s="245">
        <f t="shared" si="22"/>
        <v>0.22286</v>
      </c>
      <c r="AW29" s="187" t="s">
        <v>484</v>
      </c>
      <c r="AX29" t="s">
        <v>677</v>
      </c>
      <c r="BA29">
        <v>617</v>
      </c>
      <c r="BB29" t="s">
        <v>670</v>
      </c>
      <c r="BC29" t="s">
        <v>671</v>
      </c>
      <c r="BD29" t="s">
        <v>348</v>
      </c>
      <c r="BE29" s="246">
        <v>38433.504166666666</v>
      </c>
      <c r="BF29" s="246">
        <v>38433.550000000003</v>
      </c>
      <c r="BG29">
        <v>2.1999999999999999E-2</v>
      </c>
      <c r="BH29">
        <v>7.4476096370325101E-4</v>
      </c>
      <c r="BI29">
        <v>2.1999999999999999E-2</v>
      </c>
      <c r="BJ29" s="49">
        <f t="shared" si="24"/>
        <v>0.22286</v>
      </c>
      <c r="BK29">
        <v>403</v>
      </c>
      <c r="BL29">
        <v>383</v>
      </c>
      <c r="BM29">
        <v>10.86</v>
      </c>
      <c r="BN29" s="172">
        <v>831774</v>
      </c>
      <c r="BO29" s="172" t="s">
        <v>672</v>
      </c>
      <c r="BP29">
        <v>68</v>
      </c>
      <c r="BQ29">
        <v>29.92</v>
      </c>
      <c r="BT29">
        <v>4.8</v>
      </c>
      <c r="BU29">
        <v>13</v>
      </c>
      <c r="BV29">
        <v>300</v>
      </c>
      <c r="BW29">
        <v>29.9</v>
      </c>
      <c r="BY29" t="s">
        <v>673</v>
      </c>
      <c r="BZ29" t="s">
        <v>676</v>
      </c>
      <c r="CA29" t="s">
        <v>675</v>
      </c>
      <c r="CB29">
        <v>403</v>
      </c>
      <c r="CC29">
        <v>191500</v>
      </c>
      <c r="CD29">
        <v>0.05</v>
      </c>
      <c r="CE29">
        <v>18330</v>
      </c>
      <c r="CF29">
        <v>1</v>
      </c>
      <c r="CZ29" s="364"/>
    </row>
    <row r="30" spans="1:129">
      <c r="A30" s="241" t="s">
        <v>668</v>
      </c>
      <c r="B30" s="241" t="s">
        <v>201</v>
      </c>
      <c r="C30" s="241" t="s">
        <v>218</v>
      </c>
      <c r="D30" s="241" t="s">
        <v>638</v>
      </c>
      <c r="E30" s="86" t="str">
        <f t="shared" si="12"/>
        <v>3_fPM_T1_R5</v>
      </c>
      <c r="F30" s="229" t="s">
        <v>212</v>
      </c>
      <c r="G30" s="229">
        <f t="shared" si="13"/>
        <v>617</v>
      </c>
      <c r="H30" s="229" t="s">
        <v>669</v>
      </c>
      <c r="I30" s="229" t="str">
        <f t="shared" si="14"/>
        <v>Number 6 Fuel Oil</v>
      </c>
      <c r="J30" s="242">
        <v>1</v>
      </c>
      <c r="K30" s="229"/>
      <c r="L30" s="229"/>
      <c r="M30" s="229" t="s">
        <v>201</v>
      </c>
      <c r="N30" s="229" t="s">
        <v>475</v>
      </c>
      <c r="O30" s="229" t="str">
        <f t="shared" si="15"/>
        <v>Method 17</v>
      </c>
      <c r="P30" s="229"/>
      <c r="Q30" s="229"/>
      <c r="R30" s="229"/>
      <c r="S30" s="234">
        <f t="shared" si="16"/>
        <v>7.3562279236946877E-4</v>
      </c>
      <c r="T30" s="229">
        <f t="shared" si="25"/>
        <v>0</v>
      </c>
      <c r="U30" s="229"/>
      <c r="V30" s="229"/>
      <c r="W30" s="229"/>
      <c r="X30" s="229"/>
      <c r="Y30" s="229"/>
      <c r="Z30" s="229"/>
      <c r="AA30" s="229"/>
      <c r="AB30" s="229"/>
      <c r="AC30" s="229"/>
      <c r="AD30" s="210">
        <f t="shared" si="17"/>
        <v>4.5999999999999996</v>
      </c>
      <c r="AE30" s="86">
        <f t="shared" si="18"/>
        <v>13</v>
      </c>
      <c r="AF30" s="243"/>
      <c r="AG30" s="229"/>
      <c r="AH30" s="229"/>
      <c r="AI30" s="243">
        <f t="shared" si="19"/>
        <v>3.1E-2</v>
      </c>
      <c r="AJ30" s="229" t="s">
        <v>192</v>
      </c>
      <c r="AK30" s="229"/>
      <c r="AL30" s="229">
        <v>9190</v>
      </c>
      <c r="AM30" s="229">
        <v>10320</v>
      </c>
      <c r="AN30" s="229">
        <f t="shared" si="23"/>
        <v>1420</v>
      </c>
      <c r="AO30" s="229"/>
      <c r="AP30" s="244">
        <f t="shared" si="20"/>
        <v>3.1E-2</v>
      </c>
      <c r="AQ30" s="229"/>
      <c r="AR30" s="229"/>
      <c r="AS30" s="229"/>
      <c r="AT30" s="244">
        <f t="shared" si="21"/>
        <v>3.1E-2</v>
      </c>
      <c r="AU30" s="86">
        <v>10.130000000000001</v>
      </c>
      <c r="AV30" s="245">
        <f t="shared" si="22"/>
        <v>0.31403000000000003</v>
      </c>
      <c r="AW30" s="187" t="s">
        <v>484</v>
      </c>
      <c r="AX30" t="s">
        <v>678</v>
      </c>
      <c r="BA30">
        <v>617</v>
      </c>
      <c r="BB30" t="s">
        <v>670</v>
      </c>
      <c r="BC30" t="s">
        <v>671</v>
      </c>
      <c r="BD30" t="s">
        <v>679</v>
      </c>
      <c r="BE30" s="246">
        <v>38433.558333333334</v>
      </c>
      <c r="BF30" s="246">
        <v>38433.602083333331</v>
      </c>
      <c r="BG30">
        <v>3.1E-2</v>
      </c>
      <c r="BH30">
        <v>7.3562279236946877E-4</v>
      </c>
      <c r="BI30">
        <v>3.1E-2</v>
      </c>
      <c r="BJ30" s="49">
        <f t="shared" si="24"/>
        <v>0.31403000000000003</v>
      </c>
      <c r="BK30">
        <v>402</v>
      </c>
      <c r="BL30">
        <v>383</v>
      </c>
      <c r="BM30">
        <v>10.75</v>
      </c>
      <c r="BN30" s="172">
        <v>824308</v>
      </c>
      <c r="BO30" s="172" t="s">
        <v>672</v>
      </c>
      <c r="BP30">
        <v>68</v>
      </c>
      <c r="BQ30">
        <v>29.92</v>
      </c>
      <c r="BT30">
        <v>4.5999999999999996</v>
      </c>
      <c r="BU30">
        <v>13</v>
      </c>
      <c r="BV30">
        <v>300</v>
      </c>
      <c r="BW30">
        <v>29.9</v>
      </c>
      <c r="BY30" t="s">
        <v>673</v>
      </c>
      <c r="BZ30" t="s">
        <v>674</v>
      </c>
      <c r="CA30" t="s">
        <v>675</v>
      </c>
      <c r="CB30">
        <v>402</v>
      </c>
      <c r="CC30">
        <v>191500</v>
      </c>
      <c r="CD30">
        <v>0.05</v>
      </c>
      <c r="CE30">
        <v>18330</v>
      </c>
      <c r="CF30">
        <v>1</v>
      </c>
      <c r="CZ30" s="53"/>
    </row>
    <row r="31" spans="1:129">
      <c r="A31" s="241" t="s">
        <v>668</v>
      </c>
      <c r="B31" s="241" t="s">
        <v>201</v>
      </c>
      <c r="C31" s="241" t="s">
        <v>218</v>
      </c>
      <c r="D31" s="241" t="s">
        <v>638</v>
      </c>
      <c r="E31" s="86" t="str">
        <f t="shared" si="12"/>
        <v>3_fPM_T1_R6</v>
      </c>
      <c r="F31" s="229" t="s">
        <v>212</v>
      </c>
      <c r="G31" s="229">
        <f t="shared" si="13"/>
        <v>617</v>
      </c>
      <c r="H31" s="229" t="s">
        <v>669</v>
      </c>
      <c r="I31" s="229" t="str">
        <f t="shared" si="14"/>
        <v>Number 6 Fuel Oil</v>
      </c>
      <c r="J31" s="242">
        <v>1</v>
      </c>
      <c r="K31" s="229"/>
      <c r="L31" s="229"/>
      <c r="M31" s="229" t="s">
        <v>201</v>
      </c>
      <c r="N31" s="229" t="s">
        <v>475</v>
      </c>
      <c r="O31" s="229" t="str">
        <f t="shared" si="15"/>
        <v>Method 17</v>
      </c>
      <c r="P31" s="229"/>
      <c r="Q31" s="229"/>
      <c r="R31" s="229"/>
      <c r="S31" s="234">
        <f t="shared" si="16"/>
        <v>7.4016367380384807E-4</v>
      </c>
      <c r="T31" s="229">
        <f t="shared" si="25"/>
        <v>0</v>
      </c>
      <c r="U31" s="229"/>
      <c r="V31" s="229"/>
      <c r="W31" s="229"/>
      <c r="X31" s="229"/>
      <c r="Y31" s="229"/>
      <c r="Z31" s="229"/>
      <c r="AA31" s="229"/>
      <c r="AB31" s="229"/>
      <c r="AC31" s="229"/>
      <c r="AD31" s="210">
        <f t="shared" si="17"/>
        <v>4.7</v>
      </c>
      <c r="AE31" s="86">
        <f t="shared" si="18"/>
        <v>13</v>
      </c>
      <c r="AF31" s="243"/>
      <c r="AG31" s="229"/>
      <c r="AH31" s="229"/>
      <c r="AI31" s="243">
        <f t="shared" si="19"/>
        <v>6.2E-2</v>
      </c>
      <c r="AJ31" s="229" t="s">
        <v>192</v>
      </c>
      <c r="AK31" s="229"/>
      <c r="AL31" s="229">
        <v>9190</v>
      </c>
      <c r="AM31" s="229">
        <v>10320</v>
      </c>
      <c r="AN31" s="229">
        <f t="shared" si="23"/>
        <v>1420</v>
      </c>
      <c r="AO31" s="229"/>
      <c r="AP31" s="244">
        <f t="shared" si="20"/>
        <v>6.2E-2</v>
      </c>
      <c r="AQ31" s="229"/>
      <c r="AR31" s="229"/>
      <c r="AS31" s="229"/>
      <c r="AT31" s="244">
        <f t="shared" si="21"/>
        <v>6.2E-2</v>
      </c>
      <c r="AU31" s="86">
        <v>10.130000000000001</v>
      </c>
      <c r="AV31" s="245">
        <f t="shared" si="22"/>
        <v>0.62806000000000006</v>
      </c>
      <c r="AW31" s="187" t="s">
        <v>484</v>
      </c>
      <c r="AX31" t="s">
        <v>680</v>
      </c>
      <c r="BA31">
        <v>617</v>
      </c>
      <c r="BB31" t="s">
        <v>670</v>
      </c>
      <c r="BC31" t="s">
        <v>671</v>
      </c>
      <c r="BD31" t="s">
        <v>681</v>
      </c>
      <c r="BE31" s="246">
        <v>38433.604861111111</v>
      </c>
      <c r="BF31" s="246">
        <v>38433.649305555555</v>
      </c>
      <c r="BG31">
        <v>6.2E-2</v>
      </c>
      <c r="BH31">
        <v>7.4016367380384807E-4</v>
      </c>
      <c r="BI31">
        <v>6.2E-2</v>
      </c>
      <c r="BJ31" s="49">
        <f t="shared" si="24"/>
        <v>0.62806000000000006</v>
      </c>
      <c r="BK31">
        <v>403</v>
      </c>
      <c r="BL31">
        <v>383</v>
      </c>
      <c r="BM31">
        <v>11.48</v>
      </c>
      <c r="BN31" s="172">
        <v>837679</v>
      </c>
      <c r="BO31" s="172" t="s">
        <v>672</v>
      </c>
      <c r="BP31">
        <v>68</v>
      </c>
      <c r="BQ31">
        <v>29.92</v>
      </c>
      <c r="BT31">
        <v>4.7</v>
      </c>
      <c r="BU31">
        <v>13</v>
      </c>
      <c r="BV31">
        <v>300</v>
      </c>
      <c r="BW31">
        <v>29.9</v>
      </c>
      <c r="BY31" t="s">
        <v>673</v>
      </c>
      <c r="BZ31" t="s">
        <v>674</v>
      </c>
      <c r="CA31" t="s">
        <v>675</v>
      </c>
      <c r="CB31">
        <v>403</v>
      </c>
      <c r="CC31">
        <v>191500</v>
      </c>
      <c r="CD31">
        <v>0.05</v>
      </c>
      <c r="CE31">
        <v>18330</v>
      </c>
      <c r="CF31">
        <v>1</v>
      </c>
      <c r="CZ31" s="53"/>
    </row>
    <row r="32" spans="1:129" ht="15.75" thickBot="1">
      <c r="A32" s="241" t="s">
        <v>668</v>
      </c>
      <c r="B32" s="241" t="s">
        <v>201</v>
      </c>
      <c r="C32" s="241" t="s">
        <v>218</v>
      </c>
      <c r="D32" s="241" t="s">
        <v>638</v>
      </c>
      <c r="E32" s="86" t="str">
        <f t="shared" si="12"/>
        <v>3_fPM_T2_R1</v>
      </c>
      <c r="F32" s="229" t="s">
        <v>212</v>
      </c>
      <c r="G32" s="229">
        <f t="shared" si="13"/>
        <v>617</v>
      </c>
      <c r="H32" s="229" t="s">
        <v>669</v>
      </c>
      <c r="I32" s="229" t="str">
        <f t="shared" si="14"/>
        <v>Number 6 Fuel Oil</v>
      </c>
      <c r="J32" s="242">
        <v>1</v>
      </c>
      <c r="K32" s="229"/>
      <c r="L32" s="229"/>
      <c r="M32" s="229" t="s">
        <v>201</v>
      </c>
      <c r="N32" s="229" t="s">
        <v>475</v>
      </c>
      <c r="O32" s="229" t="str">
        <f t="shared" si="15"/>
        <v>Method 17</v>
      </c>
      <c r="P32" s="229"/>
      <c r="Q32" s="229"/>
      <c r="R32" s="229"/>
      <c r="S32" s="234">
        <f t="shared" si="16"/>
        <v>7.012076909720667E-4</v>
      </c>
      <c r="T32" s="229">
        <f t="shared" si="25"/>
        <v>0</v>
      </c>
      <c r="U32" s="229"/>
      <c r="V32" s="229"/>
      <c r="W32" s="229"/>
      <c r="X32" s="229"/>
      <c r="Y32" s="229"/>
      <c r="Z32" s="229"/>
      <c r="AA32" s="229"/>
      <c r="AB32" s="229"/>
      <c r="AC32" s="229"/>
      <c r="AD32" s="210">
        <f t="shared" si="17"/>
        <v>3.8</v>
      </c>
      <c r="AE32" s="86">
        <f t="shared" si="18"/>
        <v>13.6</v>
      </c>
      <c r="AF32" s="243"/>
      <c r="AG32" s="229"/>
      <c r="AH32" s="229"/>
      <c r="AI32" s="243">
        <f t="shared" si="19"/>
        <v>9.2999999999999999E-2</v>
      </c>
      <c r="AJ32" s="229" t="s">
        <v>192</v>
      </c>
      <c r="AK32" s="229"/>
      <c r="AL32" s="229">
        <v>9190</v>
      </c>
      <c r="AM32" s="229">
        <v>10320</v>
      </c>
      <c r="AN32" s="229">
        <f t="shared" si="23"/>
        <v>1420</v>
      </c>
      <c r="AO32" s="229"/>
      <c r="AP32" s="244">
        <f t="shared" si="20"/>
        <v>9.2999999999999999E-2</v>
      </c>
      <c r="AQ32" s="229"/>
      <c r="AR32" s="229"/>
      <c r="AS32" s="229"/>
      <c r="AT32" s="244">
        <f t="shared" si="21"/>
        <v>9.2999999999999999E-2</v>
      </c>
      <c r="AU32" s="86">
        <v>10.130000000000001</v>
      </c>
      <c r="AV32" s="245">
        <f t="shared" si="22"/>
        <v>0.94209000000000009</v>
      </c>
      <c r="AW32" s="187" t="s">
        <v>484</v>
      </c>
      <c r="AX32" t="s">
        <v>634</v>
      </c>
      <c r="BA32">
        <v>617</v>
      </c>
      <c r="BB32" t="s">
        <v>682</v>
      </c>
      <c r="BC32" t="s">
        <v>671</v>
      </c>
      <c r="BD32" t="s">
        <v>352</v>
      </c>
      <c r="BE32" s="246">
        <v>38783.378472222219</v>
      </c>
      <c r="BF32" s="246">
        <v>38783.423611111109</v>
      </c>
      <c r="BG32">
        <v>9.2999999999999999E-2</v>
      </c>
      <c r="BH32">
        <v>7.012076909720667E-4</v>
      </c>
      <c r="BI32">
        <v>9.2999999999999999E-2</v>
      </c>
      <c r="BJ32" s="49">
        <f t="shared" si="24"/>
        <v>0.94209000000000009</v>
      </c>
      <c r="BK32">
        <v>370</v>
      </c>
      <c r="BL32">
        <v>361</v>
      </c>
      <c r="BM32">
        <v>11.6</v>
      </c>
      <c r="BN32" s="172">
        <v>769042</v>
      </c>
      <c r="BO32" s="172" t="s">
        <v>672</v>
      </c>
      <c r="BP32">
        <v>68</v>
      </c>
      <c r="BQ32">
        <v>29.92</v>
      </c>
      <c r="BT32">
        <v>3.8</v>
      </c>
      <c r="BU32">
        <v>13.6</v>
      </c>
      <c r="BV32">
        <v>282</v>
      </c>
      <c r="BW32">
        <v>29.95</v>
      </c>
      <c r="BY32" t="s">
        <v>673</v>
      </c>
      <c r="BZ32" t="s">
        <v>674</v>
      </c>
      <c r="CA32" t="s">
        <v>675</v>
      </c>
      <c r="CB32">
        <v>370</v>
      </c>
      <c r="CC32">
        <v>180800</v>
      </c>
      <c r="CD32">
        <v>0.1</v>
      </c>
      <c r="CE32">
        <v>18410</v>
      </c>
      <c r="CF32">
        <v>0.98</v>
      </c>
      <c r="CZ32" s="367">
        <f>AVERAGE(AV32:AV37)</f>
        <v>0.77832166666666669</v>
      </c>
    </row>
    <row r="33" spans="1:104">
      <c r="A33" s="241" t="s">
        <v>668</v>
      </c>
      <c r="B33" s="241" t="s">
        <v>201</v>
      </c>
      <c r="C33" s="241" t="s">
        <v>218</v>
      </c>
      <c r="D33" s="241" t="s">
        <v>638</v>
      </c>
      <c r="E33" s="86" t="str">
        <f t="shared" si="12"/>
        <v>3_fPM_T2_R2</v>
      </c>
      <c r="F33" s="229" t="s">
        <v>212</v>
      </c>
      <c r="G33" s="229">
        <f t="shared" si="13"/>
        <v>617</v>
      </c>
      <c r="H33" s="229" t="s">
        <v>669</v>
      </c>
      <c r="I33" s="229" t="str">
        <f t="shared" si="14"/>
        <v>Number 6 Fuel Oil</v>
      </c>
      <c r="J33" s="242">
        <v>1</v>
      </c>
      <c r="K33" s="229"/>
      <c r="L33" s="229"/>
      <c r="M33" s="229" t="s">
        <v>201</v>
      </c>
      <c r="N33" s="229" t="s">
        <v>475</v>
      </c>
      <c r="O33" s="229" t="str">
        <f t="shared" si="15"/>
        <v>Method 17</v>
      </c>
      <c r="P33" s="229"/>
      <c r="Q33" s="229"/>
      <c r="R33" s="229"/>
      <c r="S33" s="234">
        <f t="shared" si="16"/>
        <v>7.012076909720667E-4</v>
      </c>
      <c r="T33" s="229">
        <f t="shared" si="25"/>
        <v>0</v>
      </c>
      <c r="U33" s="229"/>
      <c r="V33" s="229"/>
      <c r="W33" s="229"/>
      <c r="X33" s="229"/>
      <c r="Y33" s="229"/>
      <c r="Z33" s="229"/>
      <c r="AA33" s="229"/>
      <c r="AB33" s="229"/>
      <c r="AC33" s="229"/>
      <c r="AD33" s="210">
        <f t="shared" si="17"/>
        <v>3.8</v>
      </c>
      <c r="AE33" s="86">
        <f t="shared" si="18"/>
        <v>13.7</v>
      </c>
      <c r="AF33" s="243"/>
      <c r="AG33" s="229"/>
      <c r="AH33" s="229"/>
      <c r="AI33" s="243">
        <f t="shared" si="19"/>
        <v>0.109</v>
      </c>
      <c r="AJ33" s="229" t="s">
        <v>192</v>
      </c>
      <c r="AK33" s="229"/>
      <c r="AL33" s="229">
        <v>9190</v>
      </c>
      <c r="AM33" s="229">
        <v>10320</v>
      </c>
      <c r="AN33" s="229">
        <f t="shared" si="23"/>
        <v>1420</v>
      </c>
      <c r="AO33" s="229"/>
      <c r="AP33" s="244">
        <f t="shared" si="20"/>
        <v>0.109</v>
      </c>
      <c r="AQ33" s="229"/>
      <c r="AR33" s="229"/>
      <c r="AS33" s="229"/>
      <c r="AT33" s="244">
        <f t="shared" si="21"/>
        <v>0.109</v>
      </c>
      <c r="AU33" s="86">
        <v>10.130000000000001</v>
      </c>
      <c r="AV33" s="245">
        <f t="shared" si="22"/>
        <v>1.1041700000000001</v>
      </c>
      <c r="AW33" s="187" t="s">
        <v>484</v>
      </c>
      <c r="AX33" t="s">
        <v>635</v>
      </c>
      <c r="BA33">
        <v>617</v>
      </c>
      <c r="BB33" t="s">
        <v>682</v>
      </c>
      <c r="BC33" t="s">
        <v>671</v>
      </c>
      <c r="BD33" t="s">
        <v>232</v>
      </c>
      <c r="BE33" s="246">
        <v>38783.433333333334</v>
      </c>
      <c r="BF33" s="246">
        <v>38783.477083333331</v>
      </c>
      <c r="BG33">
        <v>0.109</v>
      </c>
      <c r="BH33">
        <v>7.012076909720667E-4</v>
      </c>
      <c r="BI33">
        <v>0.109</v>
      </c>
      <c r="BJ33" s="49">
        <f t="shared" si="24"/>
        <v>1.1041700000000001</v>
      </c>
      <c r="BK33">
        <v>370</v>
      </c>
      <c r="BL33">
        <v>362</v>
      </c>
      <c r="BM33">
        <v>9.14</v>
      </c>
      <c r="BN33" s="172">
        <v>773446</v>
      </c>
      <c r="BO33" s="172" t="s">
        <v>672</v>
      </c>
      <c r="BP33">
        <v>68</v>
      </c>
      <c r="BQ33">
        <v>29.92</v>
      </c>
      <c r="BT33">
        <v>3.8</v>
      </c>
      <c r="BU33">
        <v>13.7</v>
      </c>
      <c r="BV33">
        <v>282</v>
      </c>
      <c r="BW33">
        <v>29.95</v>
      </c>
      <c r="BY33" t="s">
        <v>673</v>
      </c>
      <c r="BZ33" t="s">
        <v>676</v>
      </c>
      <c r="CA33" t="s">
        <v>675</v>
      </c>
      <c r="CB33">
        <v>370</v>
      </c>
      <c r="CC33">
        <v>180800</v>
      </c>
      <c r="CD33">
        <v>0.1</v>
      </c>
      <c r="CE33">
        <v>18410</v>
      </c>
      <c r="CF33">
        <v>0.98</v>
      </c>
      <c r="CZ33" s="53"/>
    </row>
    <row r="34" spans="1:104">
      <c r="A34" s="241" t="s">
        <v>668</v>
      </c>
      <c r="B34" s="241" t="s">
        <v>201</v>
      </c>
      <c r="C34" s="241" t="s">
        <v>218</v>
      </c>
      <c r="D34" s="241" t="s">
        <v>638</v>
      </c>
      <c r="E34" s="86" t="str">
        <f t="shared" si="12"/>
        <v>3_fPM_T2_R3</v>
      </c>
      <c r="F34" s="229" t="s">
        <v>212</v>
      </c>
      <c r="G34" s="229">
        <f t="shared" si="13"/>
        <v>617</v>
      </c>
      <c r="H34" s="229" t="s">
        <v>669</v>
      </c>
      <c r="I34" s="229" t="str">
        <f t="shared" si="14"/>
        <v>Number 6 Fuel Oil</v>
      </c>
      <c r="J34" s="242">
        <v>1</v>
      </c>
      <c r="K34" s="229"/>
      <c r="L34" s="229"/>
      <c r="M34" s="229" t="s">
        <v>201</v>
      </c>
      <c r="N34" s="229" t="s">
        <v>475</v>
      </c>
      <c r="O34" s="229" t="str">
        <f t="shared" si="15"/>
        <v>Method 17</v>
      </c>
      <c r="P34" s="229"/>
      <c r="Q34" s="229"/>
      <c r="R34" s="229"/>
      <c r="S34" s="234">
        <f t="shared" si="16"/>
        <v>6.9713090207106619E-4</v>
      </c>
      <c r="T34" s="229">
        <f t="shared" si="25"/>
        <v>0</v>
      </c>
      <c r="U34" s="229"/>
      <c r="V34" s="229"/>
      <c r="W34" s="229"/>
      <c r="X34" s="229"/>
      <c r="Y34" s="229"/>
      <c r="Z34" s="229"/>
      <c r="AA34" s="229"/>
      <c r="AB34" s="229"/>
      <c r="AC34" s="229"/>
      <c r="AD34" s="210">
        <f t="shared" si="17"/>
        <v>3.7</v>
      </c>
      <c r="AE34" s="86">
        <f t="shared" si="18"/>
        <v>13.6</v>
      </c>
      <c r="AF34" s="243"/>
      <c r="AG34" s="229"/>
      <c r="AH34" s="229"/>
      <c r="AI34" s="243">
        <f t="shared" si="19"/>
        <v>2.3E-2</v>
      </c>
      <c r="AJ34" s="229" t="s">
        <v>192</v>
      </c>
      <c r="AK34" s="229"/>
      <c r="AL34" s="229">
        <v>9190</v>
      </c>
      <c r="AM34" s="229">
        <v>10320</v>
      </c>
      <c r="AN34" s="229">
        <f t="shared" si="23"/>
        <v>1420</v>
      </c>
      <c r="AO34" s="229"/>
      <c r="AP34" s="244">
        <f t="shared" si="20"/>
        <v>2.3E-2</v>
      </c>
      <c r="AQ34" s="229"/>
      <c r="AR34" s="229"/>
      <c r="AS34" s="229"/>
      <c r="AT34" s="244">
        <f t="shared" si="21"/>
        <v>2.3E-2</v>
      </c>
      <c r="AU34" s="86">
        <v>10.130000000000001</v>
      </c>
      <c r="AV34" s="245">
        <f t="shared" si="22"/>
        <v>0.23299</v>
      </c>
      <c r="AW34" s="187" t="s">
        <v>484</v>
      </c>
      <c r="AX34" t="s">
        <v>636</v>
      </c>
      <c r="BA34">
        <v>617</v>
      </c>
      <c r="BB34" t="s">
        <v>682</v>
      </c>
      <c r="BC34" t="s">
        <v>671</v>
      </c>
      <c r="BD34" t="s">
        <v>268</v>
      </c>
      <c r="BE34" s="246">
        <v>38783.479166666664</v>
      </c>
      <c r="BF34" s="246">
        <v>38783.525000000001</v>
      </c>
      <c r="BG34">
        <v>2.3E-2</v>
      </c>
      <c r="BH34">
        <v>6.9713090207106619E-4</v>
      </c>
      <c r="BI34">
        <v>2.3E-2</v>
      </c>
      <c r="BJ34" s="49">
        <f t="shared" si="24"/>
        <v>0.23299</v>
      </c>
      <c r="BK34">
        <v>370</v>
      </c>
      <c r="BL34">
        <v>361</v>
      </c>
      <c r="BM34">
        <v>10.28</v>
      </c>
      <c r="BN34" s="172">
        <v>764053</v>
      </c>
      <c r="BO34" s="172" t="s">
        <v>672</v>
      </c>
      <c r="BP34">
        <v>68</v>
      </c>
      <c r="BQ34">
        <v>29.92</v>
      </c>
      <c r="BT34">
        <v>3.7</v>
      </c>
      <c r="BU34">
        <v>13.6</v>
      </c>
      <c r="BV34">
        <v>284</v>
      </c>
      <c r="BW34">
        <v>29.95</v>
      </c>
      <c r="BY34" t="s">
        <v>673</v>
      </c>
      <c r="BZ34" t="s">
        <v>676</v>
      </c>
      <c r="CA34" t="s">
        <v>675</v>
      </c>
      <c r="CB34">
        <v>370</v>
      </c>
      <c r="CC34">
        <v>180800</v>
      </c>
      <c r="CD34">
        <v>0.1</v>
      </c>
      <c r="CE34">
        <v>18410</v>
      </c>
      <c r="CF34">
        <v>0.98</v>
      </c>
      <c r="CZ34" s="53"/>
    </row>
    <row r="35" spans="1:104" ht="15.75" thickBot="1">
      <c r="A35" s="241" t="s">
        <v>668</v>
      </c>
      <c r="B35" s="241" t="s">
        <v>201</v>
      </c>
      <c r="C35" s="241" t="s">
        <v>218</v>
      </c>
      <c r="D35" s="241" t="s">
        <v>638</v>
      </c>
      <c r="E35" s="86" t="str">
        <f t="shared" si="12"/>
        <v>3_fPM_T2_R4</v>
      </c>
      <c r="F35" s="229" t="s">
        <v>212</v>
      </c>
      <c r="G35" s="229">
        <f t="shared" si="13"/>
        <v>617</v>
      </c>
      <c r="H35" s="229" t="s">
        <v>669</v>
      </c>
      <c r="I35" s="229" t="str">
        <f t="shared" si="14"/>
        <v>Number 6 Fuel Oil</v>
      </c>
      <c r="J35" s="242">
        <v>1</v>
      </c>
      <c r="K35" s="229"/>
      <c r="L35" s="229"/>
      <c r="M35" s="229" t="s">
        <v>201</v>
      </c>
      <c r="N35" s="229" t="s">
        <v>475</v>
      </c>
      <c r="O35" s="229" t="str">
        <f t="shared" si="15"/>
        <v>Method 17</v>
      </c>
      <c r="P35" s="229"/>
      <c r="Q35" s="229"/>
      <c r="R35" s="229"/>
      <c r="S35" s="234">
        <f t="shared" si="16"/>
        <v>6.9713090207106619E-4</v>
      </c>
      <c r="T35" s="229">
        <f t="shared" si="25"/>
        <v>0</v>
      </c>
      <c r="U35" s="229"/>
      <c r="V35" s="229"/>
      <c r="W35" s="229"/>
      <c r="X35" s="229"/>
      <c r="Y35" s="229"/>
      <c r="Z35" s="229"/>
      <c r="AA35" s="229"/>
      <c r="AB35" s="229"/>
      <c r="AC35" s="229"/>
      <c r="AD35" s="210">
        <f t="shared" si="17"/>
        <v>3.7</v>
      </c>
      <c r="AE35" s="86">
        <f t="shared" si="18"/>
        <v>13.6</v>
      </c>
      <c r="AF35" s="243"/>
      <c r="AG35" s="229"/>
      <c r="AH35" s="229"/>
      <c r="AI35" s="243">
        <f t="shared" si="19"/>
        <v>6.3E-2</v>
      </c>
      <c r="AJ35" s="229" t="s">
        <v>192</v>
      </c>
      <c r="AK35" s="229"/>
      <c r="AL35" s="229">
        <v>9190</v>
      </c>
      <c r="AM35" s="229">
        <v>10320</v>
      </c>
      <c r="AN35" s="229">
        <f t="shared" si="23"/>
        <v>1420</v>
      </c>
      <c r="AO35" s="229"/>
      <c r="AP35" s="244">
        <f t="shared" si="20"/>
        <v>6.3E-2</v>
      </c>
      <c r="AQ35" s="229"/>
      <c r="AR35" s="229"/>
      <c r="AS35" s="229"/>
      <c r="AT35" s="244">
        <f t="shared" si="21"/>
        <v>6.3E-2</v>
      </c>
      <c r="AU35" s="86">
        <v>10.130000000000001</v>
      </c>
      <c r="AV35" s="245">
        <f t="shared" si="22"/>
        <v>0.63819000000000004</v>
      </c>
      <c r="AW35" s="187" t="s">
        <v>484</v>
      </c>
      <c r="AX35" t="s">
        <v>683</v>
      </c>
      <c r="BA35">
        <v>617</v>
      </c>
      <c r="BB35" t="s">
        <v>682</v>
      </c>
      <c r="BC35" t="s">
        <v>671</v>
      </c>
      <c r="BD35" t="s">
        <v>348</v>
      </c>
      <c r="BE35" s="246">
        <v>38783.529166666667</v>
      </c>
      <c r="BF35" s="246">
        <v>38783.573611111111</v>
      </c>
      <c r="BG35">
        <v>6.3E-2</v>
      </c>
      <c r="BH35">
        <v>6.9713090207106619E-4</v>
      </c>
      <c r="BI35">
        <v>6.3E-2</v>
      </c>
      <c r="BJ35" s="49">
        <f t="shared" si="24"/>
        <v>0.63819000000000004</v>
      </c>
      <c r="BK35">
        <v>370</v>
      </c>
      <c r="BL35">
        <v>361</v>
      </c>
      <c r="BM35">
        <v>9.4700000000000006</v>
      </c>
      <c r="BN35" s="172">
        <v>763254</v>
      </c>
      <c r="BO35" s="172" t="s">
        <v>672</v>
      </c>
      <c r="BP35">
        <v>68</v>
      </c>
      <c r="BQ35">
        <v>29.92</v>
      </c>
      <c r="BT35">
        <v>3.7</v>
      </c>
      <c r="BU35">
        <v>13.6</v>
      </c>
      <c r="BV35">
        <v>291</v>
      </c>
      <c r="BW35">
        <v>29.95</v>
      </c>
      <c r="BY35" t="s">
        <v>673</v>
      </c>
      <c r="BZ35" t="s">
        <v>676</v>
      </c>
      <c r="CA35" t="s">
        <v>675</v>
      </c>
      <c r="CB35">
        <v>370</v>
      </c>
      <c r="CC35">
        <v>180800</v>
      </c>
      <c r="CD35">
        <v>0.1</v>
      </c>
      <c r="CE35">
        <v>18410</v>
      </c>
      <c r="CF35">
        <v>0.98</v>
      </c>
      <c r="CZ35" s="364"/>
    </row>
    <row r="36" spans="1:104">
      <c r="A36" s="241" t="s">
        <v>668</v>
      </c>
      <c r="B36" s="241" t="s">
        <v>201</v>
      </c>
      <c r="C36" s="241" t="s">
        <v>218</v>
      </c>
      <c r="D36" s="241" t="s">
        <v>638</v>
      </c>
      <c r="E36" s="86" t="str">
        <f t="shared" si="12"/>
        <v>3_fPM_T2_R5</v>
      </c>
      <c r="F36" s="229" t="s">
        <v>212</v>
      </c>
      <c r="G36" s="229">
        <f t="shared" si="13"/>
        <v>617</v>
      </c>
      <c r="H36" s="229" t="s">
        <v>669</v>
      </c>
      <c r="I36" s="229" t="str">
        <f t="shared" si="14"/>
        <v>Number 6 Fuel Oil</v>
      </c>
      <c r="J36" s="242">
        <v>1</v>
      </c>
      <c r="K36" s="229"/>
      <c r="L36" s="229"/>
      <c r="M36" s="229" t="s">
        <v>201</v>
      </c>
      <c r="N36" s="229" t="s">
        <v>475</v>
      </c>
      <c r="O36" s="229" t="str">
        <f t="shared" si="15"/>
        <v>Method 17</v>
      </c>
      <c r="P36" s="229"/>
      <c r="Q36" s="229"/>
      <c r="R36" s="229"/>
      <c r="S36" s="234">
        <f t="shared" si="16"/>
        <v>6.9713090207106619E-4</v>
      </c>
      <c r="T36" s="229">
        <f t="shared" si="25"/>
        <v>0</v>
      </c>
      <c r="U36" s="229"/>
      <c r="V36" s="229"/>
      <c r="W36" s="229"/>
      <c r="X36" s="229"/>
      <c r="Y36" s="229"/>
      <c r="Z36" s="229"/>
      <c r="AA36" s="229"/>
      <c r="AB36" s="229"/>
      <c r="AC36" s="229"/>
      <c r="AD36" s="210">
        <f t="shared" si="17"/>
        <v>3.7</v>
      </c>
      <c r="AE36" s="86">
        <f t="shared" si="18"/>
        <v>13.6</v>
      </c>
      <c r="AF36" s="243"/>
      <c r="AG36" s="229"/>
      <c r="AH36" s="229"/>
      <c r="AI36" s="243">
        <f t="shared" si="19"/>
        <v>0.11</v>
      </c>
      <c r="AJ36" s="229" t="s">
        <v>192</v>
      </c>
      <c r="AK36" s="229"/>
      <c r="AL36" s="229">
        <v>9190</v>
      </c>
      <c r="AM36" s="229">
        <v>10320</v>
      </c>
      <c r="AN36" s="229">
        <f t="shared" si="23"/>
        <v>1420</v>
      </c>
      <c r="AO36" s="229"/>
      <c r="AP36" s="244">
        <f t="shared" si="20"/>
        <v>0.11</v>
      </c>
      <c r="AQ36" s="229"/>
      <c r="AR36" s="229"/>
      <c r="AS36" s="229"/>
      <c r="AT36" s="244">
        <f t="shared" si="21"/>
        <v>0.11</v>
      </c>
      <c r="AU36" s="86">
        <v>10.130000000000001</v>
      </c>
      <c r="AV36" s="245">
        <f t="shared" si="22"/>
        <v>1.1143000000000001</v>
      </c>
      <c r="AW36" s="187" t="s">
        <v>484</v>
      </c>
      <c r="AX36" t="s">
        <v>684</v>
      </c>
      <c r="BA36">
        <v>617</v>
      </c>
      <c r="BB36" t="s">
        <v>682</v>
      </c>
      <c r="BC36" t="s">
        <v>671</v>
      </c>
      <c r="BD36" t="s">
        <v>679</v>
      </c>
      <c r="BE36" s="246">
        <v>38783.57708333333</v>
      </c>
      <c r="BF36" s="246">
        <v>38783.62222222222</v>
      </c>
      <c r="BG36">
        <v>0.11</v>
      </c>
      <c r="BH36">
        <v>6.9713090207106619E-4</v>
      </c>
      <c r="BI36">
        <v>0.11</v>
      </c>
      <c r="BJ36" s="49">
        <f t="shared" si="24"/>
        <v>1.1143000000000001</v>
      </c>
      <c r="BK36">
        <v>370</v>
      </c>
      <c r="BL36">
        <v>362</v>
      </c>
      <c r="BM36">
        <v>9.85</v>
      </c>
      <c r="BN36" s="172">
        <v>764473</v>
      </c>
      <c r="BO36" s="172" t="s">
        <v>672</v>
      </c>
      <c r="BP36">
        <v>68</v>
      </c>
      <c r="BQ36">
        <v>29.92</v>
      </c>
      <c r="BT36">
        <v>3.7</v>
      </c>
      <c r="BU36">
        <v>13.6</v>
      </c>
      <c r="BV36">
        <v>289</v>
      </c>
      <c r="BW36">
        <v>29.95</v>
      </c>
      <c r="BY36" t="s">
        <v>673</v>
      </c>
      <c r="BZ36" t="s">
        <v>674</v>
      </c>
      <c r="CA36" t="s">
        <v>675</v>
      </c>
      <c r="CB36">
        <v>370</v>
      </c>
      <c r="CC36">
        <v>180800</v>
      </c>
      <c r="CD36">
        <v>0.1</v>
      </c>
      <c r="CE36">
        <v>18410</v>
      </c>
      <c r="CF36">
        <v>0.98</v>
      </c>
      <c r="CZ36" s="53"/>
    </row>
    <row r="37" spans="1:104">
      <c r="A37" s="241" t="s">
        <v>668</v>
      </c>
      <c r="B37" s="241" t="s">
        <v>201</v>
      </c>
      <c r="C37" s="241" t="s">
        <v>218</v>
      </c>
      <c r="D37" s="241" t="s">
        <v>638</v>
      </c>
      <c r="E37" s="86" t="str">
        <f t="shared" si="12"/>
        <v>3_fPM_T2_R6</v>
      </c>
      <c r="F37" s="229" t="s">
        <v>212</v>
      </c>
      <c r="G37" s="229">
        <f t="shared" si="13"/>
        <v>617</v>
      </c>
      <c r="H37" s="229" t="s">
        <v>669</v>
      </c>
      <c r="I37" s="229" t="str">
        <f t="shared" si="14"/>
        <v>Number 6 Fuel Oil</v>
      </c>
      <c r="J37" s="242">
        <v>1</v>
      </c>
      <c r="K37" s="229"/>
      <c r="L37" s="229"/>
      <c r="M37" s="229" t="s">
        <v>201</v>
      </c>
      <c r="N37" s="229" t="s">
        <v>475</v>
      </c>
      <c r="O37" s="229" t="str">
        <f t="shared" si="15"/>
        <v>Method 17</v>
      </c>
      <c r="P37" s="229"/>
      <c r="Q37" s="229"/>
      <c r="R37" s="229"/>
      <c r="S37" s="234">
        <f t="shared" si="16"/>
        <v>6.93101243677592E-4</v>
      </c>
      <c r="T37" s="229">
        <f t="shared" si="25"/>
        <v>0</v>
      </c>
      <c r="U37" s="229"/>
      <c r="V37" s="229"/>
      <c r="W37" s="229"/>
      <c r="X37" s="229"/>
      <c r="Y37" s="229"/>
      <c r="Z37" s="229"/>
      <c r="AA37" s="229"/>
      <c r="AB37" s="229"/>
      <c r="AC37" s="229"/>
      <c r="AD37" s="210">
        <f t="shared" si="17"/>
        <v>3.6</v>
      </c>
      <c r="AE37" s="86">
        <f t="shared" si="18"/>
        <v>13.7</v>
      </c>
      <c r="AF37" s="243"/>
      <c r="AG37" s="229"/>
      <c r="AH37" s="229"/>
      <c r="AI37" s="243">
        <f t="shared" si="19"/>
        <v>6.3E-2</v>
      </c>
      <c r="AJ37" s="229" t="s">
        <v>192</v>
      </c>
      <c r="AK37" s="229"/>
      <c r="AL37" s="229">
        <v>9190</v>
      </c>
      <c r="AM37" s="229">
        <v>10320</v>
      </c>
      <c r="AN37" s="229">
        <f t="shared" si="23"/>
        <v>1420</v>
      </c>
      <c r="AO37" s="229"/>
      <c r="AP37" s="244">
        <f t="shared" si="20"/>
        <v>6.3E-2</v>
      </c>
      <c r="AQ37" s="229"/>
      <c r="AR37" s="229"/>
      <c r="AS37" s="229"/>
      <c r="AT37" s="244">
        <f t="shared" si="21"/>
        <v>6.3E-2</v>
      </c>
      <c r="AU37" s="86">
        <v>10.130000000000001</v>
      </c>
      <c r="AV37" s="245">
        <f t="shared" si="22"/>
        <v>0.63819000000000004</v>
      </c>
      <c r="AW37" s="187" t="s">
        <v>484</v>
      </c>
      <c r="AX37" t="s">
        <v>685</v>
      </c>
      <c r="BA37">
        <v>617</v>
      </c>
      <c r="BB37" t="s">
        <v>682</v>
      </c>
      <c r="BC37" t="s">
        <v>671</v>
      </c>
      <c r="BD37" t="s">
        <v>681</v>
      </c>
      <c r="BE37" s="246">
        <v>38783.626388888886</v>
      </c>
      <c r="BF37" s="246">
        <v>38783.67083333333</v>
      </c>
      <c r="BG37">
        <v>6.3E-2</v>
      </c>
      <c r="BH37">
        <v>6.93101243677592E-4</v>
      </c>
      <c r="BI37">
        <v>6.3E-2</v>
      </c>
      <c r="BJ37" s="49">
        <f t="shared" si="24"/>
        <v>0.63819000000000004</v>
      </c>
      <c r="BK37">
        <v>370</v>
      </c>
      <c r="BL37">
        <v>361</v>
      </c>
      <c r="BM37">
        <v>13.06</v>
      </c>
      <c r="BN37" s="172">
        <v>751678</v>
      </c>
      <c r="BO37" s="172" t="s">
        <v>672</v>
      </c>
      <c r="BP37">
        <v>68</v>
      </c>
      <c r="BQ37">
        <v>29.92</v>
      </c>
      <c r="BT37">
        <v>3.6</v>
      </c>
      <c r="BU37">
        <v>13.7</v>
      </c>
      <c r="BV37">
        <v>288</v>
      </c>
      <c r="BW37">
        <v>29.95</v>
      </c>
      <c r="BY37" t="s">
        <v>673</v>
      </c>
      <c r="BZ37" t="s">
        <v>674</v>
      </c>
      <c r="CA37" t="s">
        <v>675</v>
      </c>
      <c r="CB37">
        <v>370</v>
      </c>
      <c r="CC37">
        <v>180800</v>
      </c>
      <c r="CD37">
        <v>0.1</v>
      </c>
      <c r="CE37">
        <v>18410</v>
      </c>
      <c r="CF37">
        <v>0.98</v>
      </c>
      <c r="CZ37" s="53"/>
    </row>
    <row r="38" spans="1:104" ht="15.75" thickBot="1">
      <c r="B38" s="241" t="s">
        <v>201</v>
      </c>
      <c r="C38" s="241" t="s">
        <v>489</v>
      </c>
      <c r="D38" s="241" t="s">
        <v>686</v>
      </c>
      <c r="E38" s="247" t="str">
        <f t="shared" si="12"/>
        <v>3_fPM_T3_R1</v>
      </c>
      <c r="F38" s="241" t="s">
        <v>212</v>
      </c>
      <c r="G38" s="241">
        <f t="shared" si="13"/>
        <v>617</v>
      </c>
      <c r="H38" s="241" t="s">
        <v>669</v>
      </c>
      <c r="I38" s="241" t="str">
        <f t="shared" si="14"/>
        <v>Number 6 Fuel Oil</v>
      </c>
      <c r="J38" s="248">
        <v>1</v>
      </c>
      <c r="K38" s="241"/>
      <c r="L38" s="241"/>
      <c r="M38" s="241" t="s">
        <v>201</v>
      </c>
      <c r="N38" s="241" t="s">
        <v>475</v>
      </c>
      <c r="O38" s="241" t="str">
        <f t="shared" si="15"/>
        <v>Method 17</v>
      </c>
      <c r="P38" s="241"/>
      <c r="Q38" s="241"/>
      <c r="R38" s="241"/>
      <c r="S38" s="249">
        <f t="shared" si="16"/>
        <v>6.93101243677592E-4</v>
      </c>
      <c r="T38" s="241">
        <f t="shared" si="25"/>
        <v>0</v>
      </c>
      <c r="U38" s="241"/>
      <c r="V38" s="241"/>
      <c r="W38" s="241"/>
      <c r="X38" s="241"/>
      <c r="Y38" s="241"/>
      <c r="Z38" s="241"/>
      <c r="AA38" s="241"/>
      <c r="AB38" s="241"/>
      <c r="AC38" s="241"/>
      <c r="AD38" s="250">
        <f t="shared" si="17"/>
        <v>3.6</v>
      </c>
      <c r="AE38" s="247">
        <f t="shared" si="18"/>
        <v>13.6</v>
      </c>
      <c r="AF38" s="251"/>
      <c r="AG38" s="241"/>
      <c r="AH38" s="241"/>
      <c r="AI38" s="251">
        <f t="shared" si="19"/>
        <v>8.0000000000000002E-3</v>
      </c>
      <c r="AJ38" s="241" t="s">
        <v>192</v>
      </c>
      <c r="AK38" s="241"/>
      <c r="AL38" s="241">
        <v>9190</v>
      </c>
      <c r="AM38" s="241">
        <v>10320</v>
      </c>
      <c r="AN38" s="241">
        <f t="shared" si="23"/>
        <v>1420</v>
      </c>
      <c r="AO38" s="241"/>
      <c r="AP38" s="252">
        <f t="shared" si="20"/>
        <v>8.0000000000000002E-3</v>
      </c>
      <c r="AQ38" s="241"/>
      <c r="AR38" s="241"/>
      <c r="AS38" s="241"/>
      <c r="AT38" s="252">
        <f t="shared" si="21"/>
        <v>8.0000000000000002E-3</v>
      </c>
      <c r="AU38" s="247">
        <v>10.130000000000001</v>
      </c>
      <c r="AV38" s="253">
        <f t="shared" si="22"/>
        <v>8.1040000000000015E-2</v>
      </c>
      <c r="AW38" s="187" t="s">
        <v>484</v>
      </c>
      <c r="AX38" t="s">
        <v>639</v>
      </c>
      <c r="BA38">
        <v>617</v>
      </c>
      <c r="BB38" t="s">
        <v>221</v>
      </c>
      <c r="BC38" t="s">
        <v>671</v>
      </c>
      <c r="BD38" t="s">
        <v>352</v>
      </c>
      <c r="BE38" s="246">
        <v>39336.434027777781</v>
      </c>
      <c r="BF38" s="246">
        <v>39336.477777777778</v>
      </c>
      <c r="BG38">
        <v>8.0000000000000002E-3</v>
      </c>
      <c r="BH38">
        <v>6.93101243677592E-4</v>
      </c>
      <c r="BI38">
        <v>8.0000000000000002E-3</v>
      </c>
      <c r="BJ38" s="49">
        <f t="shared" si="24"/>
        <v>8.1040000000000015E-2</v>
      </c>
      <c r="BK38">
        <v>385</v>
      </c>
      <c r="BL38">
        <v>374</v>
      </c>
      <c r="BM38">
        <v>11.87</v>
      </c>
      <c r="BN38" s="172">
        <v>751575</v>
      </c>
      <c r="BO38" s="172" t="s">
        <v>672</v>
      </c>
      <c r="BP38">
        <v>68</v>
      </c>
      <c r="BQ38">
        <v>29.92</v>
      </c>
      <c r="BT38">
        <v>3.6</v>
      </c>
      <c r="BU38">
        <v>13.6</v>
      </c>
      <c r="BV38">
        <v>300</v>
      </c>
      <c r="BW38">
        <v>29.97</v>
      </c>
      <c r="BY38" t="s">
        <v>673</v>
      </c>
      <c r="BZ38" t="s">
        <v>674</v>
      </c>
      <c r="CA38" t="s">
        <v>675</v>
      </c>
      <c r="CB38">
        <v>385</v>
      </c>
      <c r="CC38">
        <v>191800</v>
      </c>
      <c r="CD38">
        <v>0.15</v>
      </c>
      <c r="CE38">
        <v>18337</v>
      </c>
      <c r="CF38">
        <v>0.97</v>
      </c>
      <c r="CZ38" s="364">
        <f>AVERAGE(AV38:AV43)</f>
        <v>7.5975000000000001E-2</v>
      </c>
    </row>
    <row r="39" spans="1:104">
      <c r="B39" s="241" t="s">
        <v>201</v>
      </c>
      <c r="C39" s="241" t="s">
        <v>489</v>
      </c>
      <c r="D39" s="241" t="s">
        <v>686</v>
      </c>
      <c r="E39" s="247" t="str">
        <f t="shared" si="12"/>
        <v>3_fPM_T3_R2</v>
      </c>
      <c r="F39" s="241" t="s">
        <v>212</v>
      </c>
      <c r="G39" s="241">
        <f t="shared" si="13"/>
        <v>617</v>
      </c>
      <c r="H39" s="241" t="s">
        <v>669</v>
      </c>
      <c r="I39" s="241" t="str">
        <f t="shared" si="14"/>
        <v>Number 6 Fuel Oil</v>
      </c>
      <c r="J39" s="248">
        <v>1</v>
      </c>
      <c r="K39" s="241"/>
      <c r="L39" s="241"/>
      <c r="M39" s="241" t="s">
        <v>201</v>
      </c>
      <c r="N39" s="241" t="s">
        <v>475</v>
      </c>
      <c r="O39" s="241" t="str">
        <f t="shared" si="15"/>
        <v>Method 17</v>
      </c>
      <c r="P39" s="241"/>
      <c r="Q39" s="241"/>
      <c r="R39" s="241"/>
      <c r="S39" s="249">
        <f t="shared" si="16"/>
        <v>6.93101243677592E-4</v>
      </c>
      <c r="T39" s="241">
        <f t="shared" si="25"/>
        <v>0</v>
      </c>
      <c r="U39" s="241"/>
      <c r="V39" s="241"/>
      <c r="W39" s="241"/>
      <c r="X39" s="241"/>
      <c r="Y39" s="241"/>
      <c r="Z39" s="241"/>
      <c r="AA39" s="241"/>
      <c r="AB39" s="241"/>
      <c r="AC39" s="241"/>
      <c r="AD39" s="250">
        <f t="shared" si="17"/>
        <v>3.6</v>
      </c>
      <c r="AE39" s="247">
        <f t="shared" si="18"/>
        <v>13.6</v>
      </c>
      <c r="AF39" s="251"/>
      <c r="AG39" s="241"/>
      <c r="AH39" s="241"/>
      <c r="AI39" s="251">
        <f t="shared" si="19"/>
        <v>8.0000000000000002E-3</v>
      </c>
      <c r="AJ39" s="241" t="s">
        <v>192</v>
      </c>
      <c r="AK39" s="241"/>
      <c r="AL39" s="241">
        <v>9190</v>
      </c>
      <c r="AM39" s="241">
        <v>10320</v>
      </c>
      <c r="AN39" s="241">
        <f t="shared" si="23"/>
        <v>1420</v>
      </c>
      <c r="AO39" s="241"/>
      <c r="AP39" s="252">
        <f t="shared" si="20"/>
        <v>8.0000000000000002E-3</v>
      </c>
      <c r="AQ39" s="241"/>
      <c r="AR39" s="241"/>
      <c r="AS39" s="241"/>
      <c r="AT39" s="252">
        <f t="shared" si="21"/>
        <v>8.0000000000000002E-3</v>
      </c>
      <c r="AU39" s="247">
        <v>10.130000000000001</v>
      </c>
      <c r="AV39" s="253">
        <f t="shared" si="22"/>
        <v>8.1040000000000015E-2</v>
      </c>
      <c r="AW39" s="187" t="s">
        <v>484</v>
      </c>
      <c r="AX39" t="s">
        <v>642</v>
      </c>
      <c r="BA39">
        <v>617</v>
      </c>
      <c r="BB39" t="s">
        <v>221</v>
      </c>
      <c r="BC39" t="s">
        <v>671</v>
      </c>
      <c r="BD39" t="s">
        <v>232</v>
      </c>
      <c r="BE39" s="246">
        <v>39336.484027777777</v>
      </c>
      <c r="BF39" s="246">
        <v>39336.52847222222</v>
      </c>
      <c r="BG39">
        <v>8.0000000000000002E-3</v>
      </c>
      <c r="BH39">
        <v>6.93101243677592E-4</v>
      </c>
      <c r="BI39">
        <v>8.0000000000000002E-3</v>
      </c>
      <c r="BJ39" s="49">
        <f t="shared" si="24"/>
        <v>8.1040000000000015E-2</v>
      </c>
      <c r="BK39">
        <v>384</v>
      </c>
      <c r="BL39">
        <v>374</v>
      </c>
      <c r="BM39">
        <v>11.47</v>
      </c>
      <c r="BN39" s="172">
        <v>749331</v>
      </c>
      <c r="BO39" s="172" t="s">
        <v>672</v>
      </c>
      <c r="BP39">
        <v>68</v>
      </c>
      <c r="BQ39">
        <v>29.92</v>
      </c>
      <c r="BT39">
        <v>3.6</v>
      </c>
      <c r="BU39">
        <v>13.6</v>
      </c>
      <c r="BV39">
        <v>300</v>
      </c>
      <c r="BW39">
        <v>29.97</v>
      </c>
      <c r="BY39" t="s">
        <v>673</v>
      </c>
      <c r="BZ39" t="s">
        <v>676</v>
      </c>
      <c r="CA39" t="s">
        <v>675</v>
      </c>
      <c r="CB39">
        <v>384</v>
      </c>
      <c r="CC39">
        <v>191800</v>
      </c>
      <c r="CD39">
        <v>0.15</v>
      </c>
      <c r="CE39">
        <v>18337</v>
      </c>
      <c r="CF39">
        <v>0.97</v>
      </c>
      <c r="CZ39" s="53"/>
    </row>
    <row r="40" spans="1:104">
      <c r="B40" s="241" t="s">
        <v>201</v>
      </c>
      <c r="C40" s="241" t="s">
        <v>489</v>
      </c>
      <c r="D40" s="241" t="s">
        <v>686</v>
      </c>
      <c r="E40" s="247" t="str">
        <f t="shared" si="12"/>
        <v>3_fPM_T3_R3</v>
      </c>
      <c r="F40" s="241" t="s">
        <v>212</v>
      </c>
      <c r="G40" s="241">
        <f t="shared" si="13"/>
        <v>617</v>
      </c>
      <c r="H40" s="241" t="s">
        <v>669</v>
      </c>
      <c r="I40" s="241" t="str">
        <f t="shared" si="14"/>
        <v>Number 6 Fuel Oil</v>
      </c>
      <c r="J40" s="248">
        <v>1</v>
      </c>
      <c r="K40" s="241"/>
      <c r="L40" s="241"/>
      <c r="M40" s="241" t="s">
        <v>201</v>
      </c>
      <c r="N40" s="241" t="s">
        <v>475</v>
      </c>
      <c r="O40" s="241" t="str">
        <f t="shared" si="15"/>
        <v>Method 17</v>
      </c>
      <c r="P40" s="241"/>
      <c r="Q40" s="241"/>
      <c r="R40" s="241"/>
      <c r="S40" s="249">
        <f t="shared" si="16"/>
        <v>6.93101243677592E-4</v>
      </c>
      <c r="T40" s="241">
        <f t="shared" si="25"/>
        <v>0</v>
      </c>
      <c r="U40" s="241"/>
      <c r="V40" s="241"/>
      <c r="W40" s="241"/>
      <c r="X40" s="241"/>
      <c r="Y40" s="241"/>
      <c r="Z40" s="241"/>
      <c r="AA40" s="241"/>
      <c r="AB40" s="241"/>
      <c r="AC40" s="241"/>
      <c r="AD40" s="250">
        <f t="shared" si="17"/>
        <v>3.6</v>
      </c>
      <c r="AE40" s="247">
        <f t="shared" si="18"/>
        <v>13.6</v>
      </c>
      <c r="AF40" s="251"/>
      <c r="AG40" s="241"/>
      <c r="AH40" s="241"/>
      <c r="AI40" s="251">
        <f t="shared" si="19"/>
        <v>7.0000000000000001E-3</v>
      </c>
      <c r="AJ40" s="241" t="s">
        <v>192</v>
      </c>
      <c r="AK40" s="241"/>
      <c r="AL40" s="241">
        <v>9190</v>
      </c>
      <c r="AM40" s="241">
        <v>10320</v>
      </c>
      <c r="AN40" s="241">
        <f t="shared" si="23"/>
        <v>1420</v>
      </c>
      <c r="AO40" s="241"/>
      <c r="AP40" s="252">
        <f t="shared" si="20"/>
        <v>7.0000000000000001E-3</v>
      </c>
      <c r="AQ40" s="241"/>
      <c r="AR40" s="241"/>
      <c r="AS40" s="241"/>
      <c r="AT40" s="252">
        <f t="shared" si="21"/>
        <v>7.0000000000000001E-3</v>
      </c>
      <c r="AU40" s="247">
        <v>10.130000000000001</v>
      </c>
      <c r="AV40" s="253">
        <f t="shared" si="22"/>
        <v>7.0910000000000001E-2</v>
      </c>
      <c r="AW40" s="187" t="s">
        <v>484</v>
      </c>
      <c r="AX40" t="s">
        <v>644</v>
      </c>
      <c r="BA40">
        <v>617</v>
      </c>
      <c r="BB40" t="s">
        <v>221</v>
      </c>
      <c r="BC40" t="s">
        <v>671</v>
      </c>
      <c r="BD40" t="s">
        <v>268</v>
      </c>
      <c r="BE40" s="246">
        <v>39336.531944444447</v>
      </c>
      <c r="BF40" s="246">
        <v>39336.576388888891</v>
      </c>
      <c r="BG40">
        <v>7.0000000000000001E-3</v>
      </c>
      <c r="BH40">
        <v>6.93101243677592E-4</v>
      </c>
      <c r="BI40">
        <v>7.0000000000000001E-3</v>
      </c>
      <c r="BJ40" s="49">
        <f t="shared" si="24"/>
        <v>7.0910000000000001E-2</v>
      </c>
      <c r="BK40">
        <v>382</v>
      </c>
      <c r="BL40">
        <v>374</v>
      </c>
      <c r="BM40">
        <v>12.68</v>
      </c>
      <c r="BN40" s="172">
        <v>728999</v>
      </c>
      <c r="BO40" s="172" t="s">
        <v>672</v>
      </c>
      <c r="BP40">
        <v>68</v>
      </c>
      <c r="BQ40">
        <v>29.92</v>
      </c>
      <c r="BT40">
        <v>3.6</v>
      </c>
      <c r="BU40">
        <v>13.6</v>
      </c>
      <c r="BV40">
        <v>300</v>
      </c>
      <c r="BW40">
        <v>29.97</v>
      </c>
      <c r="BY40" t="s">
        <v>673</v>
      </c>
      <c r="BZ40" t="s">
        <v>676</v>
      </c>
      <c r="CA40" t="s">
        <v>675</v>
      </c>
      <c r="CB40">
        <v>382</v>
      </c>
      <c r="CC40">
        <v>191800</v>
      </c>
      <c r="CD40">
        <v>0.15</v>
      </c>
      <c r="CE40">
        <v>18337</v>
      </c>
      <c r="CF40">
        <v>0.97</v>
      </c>
      <c r="CZ40" s="53"/>
    </row>
    <row r="41" spans="1:104" ht="15.75" thickBot="1">
      <c r="B41" s="241" t="s">
        <v>201</v>
      </c>
      <c r="C41" s="241" t="s">
        <v>489</v>
      </c>
      <c r="D41" s="241" t="s">
        <v>686</v>
      </c>
      <c r="E41" s="247" t="str">
        <f t="shared" si="12"/>
        <v>3_fPM_T3_R4</v>
      </c>
      <c r="F41" s="241" t="s">
        <v>212</v>
      </c>
      <c r="G41" s="241">
        <f t="shared" si="13"/>
        <v>617</v>
      </c>
      <c r="H41" s="241" t="s">
        <v>669</v>
      </c>
      <c r="I41" s="241" t="str">
        <f t="shared" si="14"/>
        <v>Number 6 Fuel Oil</v>
      </c>
      <c r="J41" s="248">
        <v>1</v>
      </c>
      <c r="K41" s="241"/>
      <c r="L41" s="241"/>
      <c r="M41" s="241" t="s">
        <v>201</v>
      </c>
      <c r="N41" s="241" t="s">
        <v>475</v>
      </c>
      <c r="O41" s="241" t="str">
        <f t="shared" si="15"/>
        <v>Method 17</v>
      </c>
      <c r="P41" s="241"/>
      <c r="Q41" s="241"/>
      <c r="R41" s="241"/>
      <c r="S41" s="249">
        <f t="shared" si="16"/>
        <v>6.93101243677592E-4</v>
      </c>
      <c r="T41" s="241">
        <f t="shared" si="25"/>
        <v>0</v>
      </c>
      <c r="U41" s="241"/>
      <c r="V41" s="241"/>
      <c r="W41" s="241"/>
      <c r="X41" s="241"/>
      <c r="Y41" s="241"/>
      <c r="Z41" s="241"/>
      <c r="AA41" s="241"/>
      <c r="AB41" s="241"/>
      <c r="AC41" s="241"/>
      <c r="AD41" s="250">
        <f t="shared" si="17"/>
        <v>3.6</v>
      </c>
      <c r="AE41" s="247">
        <f t="shared" si="18"/>
        <v>13.5</v>
      </c>
      <c r="AF41" s="251"/>
      <c r="AG41" s="241"/>
      <c r="AH41" s="241"/>
      <c r="AI41" s="251">
        <f t="shared" si="19"/>
        <v>8.0000000000000002E-3</v>
      </c>
      <c r="AJ41" s="241" t="s">
        <v>192</v>
      </c>
      <c r="AK41" s="241"/>
      <c r="AL41" s="241">
        <v>9190</v>
      </c>
      <c r="AM41" s="241">
        <v>10320</v>
      </c>
      <c r="AN41" s="241">
        <f t="shared" si="23"/>
        <v>1420</v>
      </c>
      <c r="AO41" s="241"/>
      <c r="AP41" s="252">
        <f t="shared" si="20"/>
        <v>8.0000000000000002E-3</v>
      </c>
      <c r="AQ41" s="241"/>
      <c r="AR41" s="241"/>
      <c r="AS41" s="241"/>
      <c r="AT41" s="252">
        <f t="shared" si="21"/>
        <v>8.0000000000000002E-3</v>
      </c>
      <c r="AU41" s="247">
        <v>10.130000000000001</v>
      </c>
      <c r="AV41" s="253">
        <f t="shared" si="22"/>
        <v>8.1040000000000015E-2</v>
      </c>
      <c r="AW41" s="187" t="s">
        <v>484</v>
      </c>
      <c r="AX41" t="s">
        <v>687</v>
      </c>
      <c r="BA41">
        <v>617</v>
      </c>
      <c r="BB41" t="s">
        <v>221</v>
      </c>
      <c r="BC41" t="s">
        <v>671</v>
      </c>
      <c r="BD41" t="s">
        <v>348</v>
      </c>
      <c r="BE41" s="246">
        <v>39336.581250000003</v>
      </c>
      <c r="BF41" s="246">
        <v>39336.625694444447</v>
      </c>
      <c r="BG41">
        <v>8.0000000000000002E-3</v>
      </c>
      <c r="BH41">
        <v>6.93101243677592E-4</v>
      </c>
      <c r="BI41">
        <v>8.0000000000000002E-3</v>
      </c>
      <c r="BJ41" s="49">
        <f t="shared" si="24"/>
        <v>8.1040000000000015E-2</v>
      </c>
      <c r="BK41">
        <v>382</v>
      </c>
      <c r="BL41">
        <v>374</v>
      </c>
      <c r="BM41">
        <v>10.58</v>
      </c>
      <c r="BN41" s="172">
        <v>735420</v>
      </c>
      <c r="BO41" s="172" t="s">
        <v>672</v>
      </c>
      <c r="BP41">
        <v>68</v>
      </c>
      <c r="BQ41">
        <v>29.92</v>
      </c>
      <c r="BT41">
        <v>3.6</v>
      </c>
      <c r="BU41">
        <v>13.5</v>
      </c>
      <c r="BV41">
        <v>300</v>
      </c>
      <c r="BW41">
        <v>29.97</v>
      </c>
      <c r="BY41" t="s">
        <v>673</v>
      </c>
      <c r="BZ41" t="s">
        <v>676</v>
      </c>
      <c r="CA41" t="s">
        <v>675</v>
      </c>
      <c r="CB41">
        <v>382</v>
      </c>
      <c r="CC41">
        <v>191800</v>
      </c>
      <c r="CD41">
        <v>0.15</v>
      </c>
      <c r="CE41">
        <v>18337</v>
      </c>
      <c r="CF41">
        <v>0.97</v>
      </c>
      <c r="CZ41" s="364"/>
    </row>
    <row r="42" spans="1:104">
      <c r="B42" s="241" t="s">
        <v>201</v>
      </c>
      <c r="C42" s="241" t="s">
        <v>489</v>
      </c>
      <c r="D42" s="241" t="s">
        <v>686</v>
      </c>
      <c r="E42" s="247" t="str">
        <f t="shared" si="12"/>
        <v>3_fPM_T3_R5</v>
      </c>
      <c r="F42" s="241" t="s">
        <v>212</v>
      </c>
      <c r="G42" s="241">
        <f t="shared" si="13"/>
        <v>617</v>
      </c>
      <c r="H42" s="241" t="s">
        <v>669</v>
      </c>
      <c r="I42" s="241" t="str">
        <f t="shared" si="14"/>
        <v>Number 6 Fuel Oil</v>
      </c>
      <c r="J42" s="248">
        <v>1</v>
      </c>
      <c r="K42" s="241"/>
      <c r="L42" s="241"/>
      <c r="M42" s="241" t="s">
        <v>201</v>
      </c>
      <c r="N42" s="241" t="s">
        <v>475</v>
      </c>
      <c r="O42" s="241" t="str">
        <f t="shared" si="15"/>
        <v>Method 17</v>
      </c>
      <c r="P42" s="241"/>
      <c r="Q42" s="241"/>
      <c r="R42" s="241"/>
      <c r="S42" s="249">
        <f t="shared" si="16"/>
        <v>6.9713090207106619E-4</v>
      </c>
      <c r="T42" s="241">
        <f t="shared" si="25"/>
        <v>0</v>
      </c>
      <c r="U42" s="241"/>
      <c r="V42" s="241"/>
      <c r="W42" s="241"/>
      <c r="X42" s="241"/>
      <c r="Y42" s="241"/>
      <c r="Z42" s="241"/>
      <c r="AA42" s="241"/>
      <c r="AB42" s="241"/>
      <c r="AC42" s="241"/>
      <c r="AD42" s="250">
        <f t="shared" si="17"/>
        <v>3.7</v>
      </c>
      <c r="AE42" s="247">
        <f t="shared" si="18"/>
        <v>13.5</v>
      </c>
      <c r="AF42" s="251"/>
      <c r="AG42" s="241"/>
      <c r="AH42" s="241"/>
      <c r="AI42" s="251">
        <f t="shared" si="19"/>
        <v>8.0000000000000002E-3</v>
      </c>
      <c r="AJ42" s="241" t="s">
        <v>192</v>
      </c>
      <c r="AK42" s="241"/>
      <c r="AL42" s="241">
        <v>9190</v>
      </c>
      <c r="AM42" s="241">
        <v>10320</v>
      </c>
      <c r="AN42" s="241">
        <f t="shared" si="23"/>
        <v>1420</v>
      </c>
      <c r="AO42" s="241"/>
      <c r="AP42" s="252">
        <f t="shared" si="20"/>
        <v>8.0000000000000002E-3</v>
      </c>
      <c r="AQ42" s="241"/>
      <c r="AR42" s="241"/>
      <c r="AS42" s="241"/>
      <c r="AT42" s="252">
        <f t="shared" si="21"/>
        <v>8.0000000000000002E-3</v>
      </c>
      <c r="AU42" s="247">
        <v>10.130000000000001</v>
      </c>
      <c r="AV42" s="253">
        <f t="shared" si="22"/>
        <v>8.1040000000000015E-2</v>
      </c>
      <c r="AW42" s="187" t="s">
        <v>484</v>
      </c>
      <c r="AX42" t="s">
        <v>688</v>
      </c>
      <c r="BA42">
        <v>617</v>
      </c>
      <c r="BB42" t="s">
        <v>221</v>
      </c>
      <c r="BC42" t="s">
        <v>671</v>
      </c>
      <c r="BD42" t="s">
        <v>679</v>
      </c>
      <c r="BE42" s="246">
        <v>39336.628472222219</v>
      </c>
      <c r="BF42" s="246">
        <v>39336.67291666667</v>
      </c>
      <c r="BG42">
        <v>8.0000000000000002E-3</v>
      </c>
      <c r="BH42">
        <v>6.9713090207106619E-4</v>
      </c>
      <c r="BI42">
        <v>8.0000000000000002E-3</v>
      </c>
      <c r="BJ42" s="49">
        <f t="shared" si="24"/>
        <v>8.1040000000000015E-2</v>
      </c>
      <c r="BK42">
        <v>383</v>
      </c>
      <c r="BL42">
        <v>374</v>
      </c>
      <c r="BM42">
        <v>11.14</v>
      </c>
      <c r="BN42" s="172">
        <v>753388</v>
      </c>
      <c r="BO42" s="172" t="s">
        <v>672</v>
      </c>
      <c r="BP42">
        <v>68</v>
      </c>
      <c r="BQ42">
        <v>29.92</v>
      </c>
      <c r="BT42">
        <v>3.7</v>
      </c>
      <c r="BU42">
        <v>13.5</v>
      </c>
      <c r="BV42">
        <v>300</v>
      </c>
      <c r="BW42">
        <v>29.97</v>
      </c>
      <c r="BY42" t="s">
        <v>673</v>
      </c>
      <c r="BZ42" t="s">
        <v>674</v>
      </c>
      <c r="CA42" t="s">
        <v>675</v>
      </c>
      <c r="CB42">
        <v>383</v>
      </c>
      <c r="CC42">
        <v>191800</v>
      </c>
      <c r="CD42">
        <v>0.15</v>
      </c>
      <c r="CE42">
        <v>18337</v>
      </c>
      <c r="CF42">
        <v>0.97</v>
      </c>
      <c r="CZ42" s="53"/>
    </row>
    <row r="43" spans="1:104">
      <c r="B43" s="241" t="s">
        <v>201</v>
      </c>
      <c r="C43" s="241" t="s">
        <v>489</v>
      </c>
      <c r="D43" s="241" t="s">
        <v>686</v>
      </c>
      <c r="E43" s="247" t="str">
        <f t="shared" si="12"/>
        <v>3_fPM_T3_R6</v>
      </c>
      <c r="F43" s="241" t="s">
        <v>212</v>
      </c>
      <c r="G43" s="241">
        <f t="shared" si="13"/>
        <v>617</v>
      </c>
      <c r="H43" s="241" t="s">
        <v>669</v>
      </c>
      <c r="I43" s="241" t="str">
        <f t="shared" si="14"/>
        <v>Number 6 Fuel Oil</v>
      </c>
      <c r="J43" s="248">
        <v>1</v>
      </c>
      <c r="K43" s="241"/>
      <c r="L43" s="241"/>
      <c r="M43" s="241" t="s">
        <v>201</v>
      </c>
      <c r="N43" s="241" t="s">
        <v>475</v>
      </c>
      <c r="O43" s="241" t="str">
        <f t="shared" si="15"/>
        <v>Method 17</v>
      </c>
      <c r="P43" s="241"/>
      <c r="Q43" s="241"/>
      <c r="R43" s="241"/>
      <c r="S43" s="249">
        <f t="shared" si="16"/>
        <v>7.012076909720667E-4</v>
      </c>
      <c r="T43" s="241">
        <f t="shared" si="25"/>
        <v>0</v>
      </c>
      <c r="U43" s="241"/>
      <c r="V43" s="241"/>
      <c r="W43" s="241"/>
      <c r="X43" s="241"/>
      <c r="Y43" s="241"/>
      <c r="Z43" s="241"/>
      <c r="AA43" s="241"/>
      <c r="AB43" s="241"/>
      <c r="AC43" s="241"/>
      <c r="AD43" s="250">
        <f t="shared" si="17"/>
        <v>3.8</v>
      </c>
      <c r="AE43" s="247">
        <f t="shared" si="18"/>
        <v>13.4</v>
      </c>
      <c r="AF43" s="251"/>
      <c r="AG43" s="241"/>
      <c r="AH43" s="241"/>
      <c r="AI43" s="251">
        <f t="shared" si="19"/>
        <v>6.0000000000000001E-3</v>
      </c>
      <c r="AJ43" s="241" t="s">
        <v>192</v>
      </c>
      <c r="AK43" s="241"/>
      <c r="AL43" s="241">
        <v>9190</v>
      </c>
      <c r="AM43" s="241">
        <v>10320</v>
      </c>
      <c r="AN43" s="241">
        <f t="shared" si="23"/>
        <v>1420</v>
      </c>
      <c r="AO43" s="241"/>
      <c r="AP43" s="252">
        <f t="shared" si="20"/>
        <v>6.0000000000000001E-3</v>
      </c>
      <c r="AQ43" s="241"/>
      <c r="AR43" s="241"/>
      <c r="AS43" s="241"/>
      <c r="AT43" s="252">
        <f t="shared" si="21"/>
        <v>6.0000000000000001E-3</v>
      </c>
      <c r="AU43" s="247">
        <v>10.130000000000001</v>
      </c>
      <c r="AV43" s="253">
        <f t="shared" si="22"/>
        <v>6.0780000000000008E-2</v>
      </c>
      <c r="AW43" s="187" t="s">
        <v>484</v>
      </c>
      <c r="AX43" t="s">
        <v>689</v>
      </c>
      <c r="BA43">
        <v>617</v>
      </c>
      <c r="BB43" t="s">
        <v>221</v>
      </c>
      <c r="BC43" t="s">
        <v>671</v>
      </c>
      <c r="BD43" t="s">
        <v>681</v>
      </c>
      <c r="BE43" s="246">
        <v>39336.677083333336</v>
      </c>
      <c r="BF43" s="246">
        <v>39336.72152777778</v>
      </c>
      <c r="BG43">
        <v>6.0000000000000001E-3</v>
      </c>
      <c r="BH43">
        <v>7.012076909720667E-4</v>
      </c>
      <c r="BI43">
        <v>6.0000000000000001E-3</v>
      </c>
      <c r="BJ43" s="49">
        <f t="shared" si="24"/>
        <v>6.0780000000000008E-2</v>
      </c>
      <c r="BK43">
        <v>384</v>
      </c>
      <c r="BL43">
        <v>374</v>
      </c>
      <c r="BM43">
        <v>11.82</v>
      </c>
      <c r="BN43" s="172">
        <v>758210</v>
      </c>
      <c r="BO43" s="172" t="s">
        <v>672</v>
      </c>
      <c r="BP43">
        <v>68</v>
      </c>
      <c r="BQ43">
        <v>29.92</v>
      </c>
      <c r="BT43">
        <v>3.8</v>
      </c>
      <c r="BU43">
        <v>13.4</v>
      </c>
      <c r="BV43">
        <v>300</v>
      </c>
      <c r="BW43">
        <v>29.97</v>
      </c>
      <c r="BY43" t="s">
        <v>673</v>
      </c>
      <c r="BZ43" t="s">
        <v>674</v>
      </c>
      <c r="CA43" t="s">
        <v>675</v>
      </c>
      <c r="CB43">
        <v>384</v>
      </c>
      <c r="CC43">
        <v>191800</v>
      </c>
      <c r="CD43">
        <v>0.15</v>
      </c>
      <c r="CE43">
        <v>18337</v>
      </c>
      <c r="CF43">
        <v>0.97</v>
      </c>
      <c r="CZ43" s="53"/>
    </row>
    <row r="44" spans="1:104" ht="15.75" thickBot="1">
      <c r="B44" s="241" t="s">
        <v>201</v>
      </c>
      <c r="C44" s="241" t="s">
        <v>489</v>
      </c>
      <c r="D44" s="241" t="s">
        <v>686</v>
      </c>
      <c r="E44" s="247" t="str">
        <f t="shared" si="12"/>
        <v>3_fPM_T4_R1</v>
      </c>
      <c r="F44" s="241" t="s">
        <v>212</v>
      </c>
      <c r="G44" s="241">
        <f t="shared" si="13"/>
        <v>617</v>
      </c>
      <c r="H44" s="241" t="s">
        <v>669</v>
      </c>
      <c r="I44" s="241" t="str">
        <f t="shared" si="14"/>
        <v>Number 6 Fuel Oil</v>
      </c>
      <c r="J44" s="248">
        <v>1</v>
      </c>
      <c r="K44" s="241"/>
      <c r="L44" s="241"/>
      <c r="M44" s="241" t="s">
        <v>201</v>
      </c>
      <c r="N44" s="241" t="s">
        <v>475</v>
      </c>
      <c r="O44" s="241" t="str">
        <f t="shared" si="15"/>
        <v>Method 17</v>
      </c>
      <c r="P44" s="241"/>
      <c r="Q44" s="241"/>
      <c r="R44" s="241"/>
      <c r="S44" s="249">
        <f t="shared" si="16"/>
        <v>7.4016367380384807E-4</v>
      </c>
      <c r="T44" s="241">
        <f t="shared" si="25"/>
        <v>0</v>
      </c>
      <c r="U44" s="241"/>
      <c r="V44" s="241"/>
      <c r="W44" s="241"/>
      <c r="X44" s="241"/>
      <c r="Y44" s="241"/>
      <c r="Z44" s="241"/>
      <c r="AA44" s="241"/>
      <c r="AB44" s="241"/>
      <c r="AC44" s="241"/>
      <c r="AD44" s="250">
        <f t="shared" si="17"/>
        <v>4.7</v>
      </c>
      <c r="AE44" s="247">
        <f t="shared" si="18"/>
        <v>13</v>
      </c>
      <c r="AF44" s="251"/>
      <c r="AG44" s="241"/>
      <c r="AH44" s="241"/>
      <c r="AI44" s="251">
        <f t="shared" si="19"/>
        <v>8.0000000000000002E-3</v>
      </c>
      <c r="AJ44" s="241" t="s">
        <v>192</v>
      </c>
      <c r="AK44" s="241"/>
      <c r="AL44" s="241">
        <v>9190</v>
      </c>
      <c r="AM44" s="241">
        <v>10320</v>
      </c>
      <c r="AN44" s="241">
        <f t="shared" si="23"/>
        <v>1420</v>
      </c>
      <c r="AO44" s="241"/>
      <c r="AP44" s="252">
        <f t="shared" si="20"/>
        <v>8.0000000000000002E-3</v>
      </c>
      <c r="AQ44" s="241"/>
      <c r="AR44" s="241"/>
      <c r="AS44" s="241"/>
      <c r="AT44" s="252">
        <f t="shared" si="21"/>
        <v>8.0000000000000002E-3</v>
      </c>
      <c r="AU44" s="247">
        <v>10.130000000000001</v>
      </c>
      <c r="AV44" s="253">
        <f t="shared" si="22"/>
        <v>8.1040000000000015E-2</v>
      </c>
      <c r="AW44" s="187" t="s">
        <v>484</v>
      </c>
      <c r="AX44" t="s">
        <v>647</v>
      </c>
      <c r="BA44">
        <v>617</v>
      </c>
      <c r="BB44" t="s">
        <v>222</v>
      </c>
      <c r="BC44" t="s">
        <v>671</v>
      </c>
      <c r="BD44" t="s">
        <v>352</v>
      </c>
      <c r="BE44" s="246">
        <v>39497.436111111114</v>
      </c>
      <c r="BF44" s="246">
        <v>39497.481944444444</v>
      </c>
      <c r="BG44">
        <v>8.0000000000000002E-3</v>
      </c>
      <c r="BH44">
        <v>7.4016367380384807E-4</v>
      </c>
      <c r="BI44">
        <v>8.0000000000000002E-3</v>
      </c>
      <c r="BJ44" s="49">
        <f t="shared" si="24"/>
        <v>8.1040000000000015E-2</v>
      </c>
      <c r="BK44">
        <v>397</v>
      </c>
      <c r="BL44">
        <v>384</v>
      </c>
      <c r="BM44">
        <v>7.81</v>
      </c>
      <c r="BN44" s="172">
        <v>841366</v>
      </c>
      <c r="BO44" s="172" t="s">
        <v>672</v>
      </c>
      <c r="BP44">
        <v>68</v>
      </c>
      <c r="BQ44">
        <v>29.92</v>
      </c>
      <c r="BT44">
        <v>4.7</v>
      </c>
      <c r="BU44">
        <v>13</v>
      </c>
      <c r="BV44">
        <v>300</v>
      </c>
      <c r="BW44">
        <v>30.14</v>
      </c>
      <c r="BY44" t="s">
        <v>673</v>
      </c>
      <c r="BZ44" t="s">
        <v>674</v>
      </c>
      <c r="CA44" t="s">
        <v>675</v>
      </c>
      <c r="CB44">
        <v>397</v>
      </c>
      <c r="CC44">
        <v>195400</v>
      </c>
      <c r="CD44">
        <v>0.08</v>
      </c>
      <c r="CE44">
        <v>18238</v>
      </c>
      <c r="CF44">
        <v>1</v>
      </c>
      <c r="CZ44" s="364">
        <f>AVERAGE(AV44:AV49)</f>
        <v>0.10805333333333333</v>
      </c>
    </row>
    <row r="45" spans="1:104">
      <c r="B45" s="241" t="s">
        <v>201</v>
      </c>
      <c r="C45" s="241" t="s">
        <v>489</v>
      </c>
      <c r="D45" s="241" t="s">
        <v>686</v>
      </c>
      <c r="E45" s="247" t="str">
        <f t="shared" si="12"/>
        <v>3_fPM_T4_R2</v>
      </c>
      <c r="F45" s="241" t="s">
        <v>212</v>
      </c>
      <c r="G45" s="241">
        <f t="shared" si="13"/>
        <v>617</v>
      </c>
      <c r="H45" s="241" t="s">
        <v>669</v>
      </c>
      <c r="I45" s="241" t="str">
        <f t="shared" si="14"/>
        <v>Number 6 Fuel Oil</v>
      </c>
      <c r="J45" s="248">
        <v>1</v>
      </c>
      <c r="K45" s="241"/>
      <c r="L45" s="241"/>
      <c r="M45" s="241" t="s">
        <v>201</v>
      </c>
      <c r="N45" s="241" t="s">
        <v>475</v>
      </c>
      <c r="O45" s="241" t="str">
        <f t="shared" si="15"/>
        <v>Method 17</v>
      </c>
      <c r="P45" s="241"/>
      <c r="Q45" s="241"/>
      <c r="R45" s="241"/>
      <c r="S45" s="249">
        <f t="shared" si="16"/>
        <v>7.3562279236946877E-4</v>
      </c>
      <c r="T45" s="241">
        <f t="shared" si="25"/>
        <v>0</v>
      </c>
      <c r="U45" s="241"/>
      <c r="V45" s="241"/>
      <c r="W45" s="241"/>
      <c r="X45" s="241"/>
      <c r="Y45" s="241"/>
      <c r="Z45" s="241"/>
      <c r="AA45" s="241"/>
      <c r="AB45" s="241"/>
      <c r="AC45" s="241"/>
      <c r="AD45" s="250">
        <f t="shared" si="17"/>
        <v>4.5999999999999996</v>
      </c>
      <c r="AE45" s="247">
        <f t="shared" si="18"/>
        <v>13.1</v>
      </c>
      <c r="AF45" s="251"/>
      <c r="AG45" s="241"/>
      <c r="AH45" s="241"/>
      <c r="AI45" s="251">
        <f t="shared" si="19"/>
        <v>1.0999999999999999E-2</v>
      </c>
      <c r="AJ45" s="241" t="s">
        <v>192</v>
      </c>
      <c r="AK45" s="241"/>
      <c r="AL45" s="241">
        <v>9190</v>
      </c>
      <c r="AM45" s="241">
        <v>10320</v>
      </c>
      <c r="AN45" s="241">
        <f t="shared" si="23"/>
        <v>1420</v>
      </c>
      <c r="AO45" s="241"/>
      <c r="AP45" s="252">
        <f t="shared" si="20"/>
        <v>1.0999999999999999E-2</v>
      </c>
      <c r="AQ45" s="241"/>
      <c r="AR45" s="241"/>
      <c r="AS45" s="241"/>
      <c r="AT45" s="252">
        <f t="shared" si="21"/>
        <v>1.0999999999999999E-2</v>
      </c>
      <c r="AU45" s="247">
        <v>10.130000000000001</v>
      </c>
      <c r="AV45" s="253">
        <f t="shared" si="22"/>
        <v>0.11143</v>
      </c>
      <c r="AW45" s="187" t="s">
        <v>484</v>
      </c>
      <c r="AX45" t="s">
        <v>648</v>
      </c>
      <c r="BA45">
        <v>617</v>
      </c>
      <c r="BB45" t="s">
        <v>222</v>
      </c>
      <c r="BC45" t="s">
        <v>671</v>
      </c>
      <c r="BD45" t="s">
        <v>232</v>
      </c>
      <c r="BE45" s="246">
        <v>39497.488194444442</v>
      </c>
      <c r="BF45" s="246">
        <v>39497.53402777778</v>
      </c>
      <c r="BG45">
        <v>1.0999999999999999E-2</v>
      </c>
      <c r="BH45">
        <v>7.3562279236946877E-4</v>
      </c>
      <c r="BI45">
        <v>1.0999999999999999E-2</v>
      </c>
      <c r="BJ45" s="49">
        <f t="shared" si="24"/>
        <v>0.11143</v>
      </c>
      <c r="BK45">
        <v>394</v>
      </c>
      <c r="BL45">
        <v>381</v>
      </c>
      <c r="BM45">
        <v>8.9600000000000009</v>
      </c>
      <c r="BN45" s="172">
        <v>827691</v>
      </c>
      <c r="BO45" s="172" t="s">
        <v>672</v>
      </c>
      <c r="BP45">
        <v>68</v>
      </c>
      <c r="BQ45">
        <v>29.92</v>
      </c>
      <c r="BT45">
        <v>4.5999999999999996</v>
      </c>
      <c r="BU45">
        <v>13.1</v>
      </c>
      <c r="BV45">
        <v>300</v>
      </c>
      <c r="BW45">
        <v>30.14</v>
      </c>
      <c r="BY45" t="s">
        <v>673</v>
      </c>
      <c r="BZ45" t="s">
        <v>676</v>
      </c>
      <c r="CA45" t="s">
        <v>675</v>
      </c>
      <c r="CB45">
        <v>394</v>
      </c>
      <c r="CC45">
        <v>195400</v>
      </c>
      <c r="CD45">
        <v>0.08</v>
      </c>
      <c r="CE45">
        <v>18238</v>
      </c>
      <c r="CF45">
        <v>1</v>
      </c>
      <c r="CZ45" s="53"/>
    </row>
    <row r="46" spans="1:104">
      <c r="B46" s="241" t="s">
        <v>201</v>
      </c>
      <c r="C46" s="241" t="s">
        <v>489</v>
      </c>
      <c r="D46" s="241" t="s">
        <v>686</v>
      </c>
      <c r="E46" s="247" t="str">
        <f t="shared" si="12"/>
        <v>3_fPM_T4_R3</v>
      </c>
      <c r="F46" s="241" t="s">
        <v>212</v>
      </c>
      <c r="G46" s="241">
        <f t="shared" si="13"/>
        <v>617</v>
      </c>
      <c r="H46" s="241" t="s">
        <v>669</v>
      </c>
      <c r="I46" s="241" t="str">
        <f t="shared" si="14"/>
        <v>Number 6 Fuel Oil</v>
      </c>
      <c r="J46" s="248">
        <v>1</v>
      </c>
      <c r="K46" s="241"/>
      <c r="L46" s="241"/>
      <c r="M46" s="241" t="s">
        <v>201</v>
      </c>
      <c r="N46" s="241" t="s">
        <v>475</v>
      </c>
      <c r="O46" s="241" t="str">
        <f t="shared" si="15"/>
        <v>Method 17</v>
      </c>
      <c r="P46" s="241"/>
      <c r="Q46" s="241"/>
      <c r="R46" s="241"/>
      <c r="S46" s="249">
        <f t="shared" si="16"/>
        <v>7.3113728753794753E-4</v>
      </c>
      <c r="T46" s="241">
        <f t="shared" si="25"/>
        <v>0</v>
      </c>
      <c r="U46" s="241"/>
      <c r="V46" s="241"/>
      <c r="W46" s="241"/>
      <c r="X46" s="241"/>
      <c r="Y46" s="241"/>
      <c r="Z46" s="241"/>
      <c r="AA46" s="241"/>
      <c r="AB46" s="241"/>
      <c r="AC46" s="241"/>
      <c r="AD46" s="250">
        <f t="shared" si="17"/>
        <v>4.5</v>
      </c>
      <c r="AE46" s="247">
        <f t="shared" si="18"/>
        <v>13.1</v>
      </c>
      <c r="AF46" s="251"/>
      <c r="AG46" s="241"/>
      <c r="AH46" s="241"/>
      <c r="AI46" s="251">
        <f t="shared" si="19"/>
        <v>1.2E-2</v>
      </c>
      <c r="AJ46" s="241" t="s">
        <v>192</v>
      </c>
      <c r="AK46" s="241"/>
      <c r="AL46" s="241">
        <v>9190</v>
      </c>
      <c r="AM46" s="241">
        <v>10320</v>
      </c>
      <c r="AN46" s="241">
        <f t="shared" si="23"/>
        <v>1420</v>
      </c>
      <c r="AO46" s="241"/>
      <c r="AP46" s="252">
        <f t="shared" si="20"/>
        <v>1.2E-2</v>
      </c>
      <c r="AQ46" s="241"/>
      <c r="AR46" s="241"/>
      <c r="AS46" s="241"/>
      <c r="AT46" s="252">
        <f t="shared" si="21"/>
        <v>1.2E-2</v>
      </c>
      <c r="AU46" s="247">
        <v>10.130000000000001</v>
      </c>
      <c r="AV46" s="253">
        <f t="shared" si="22"/>
        <v>0.12156000000000002</v>
      </c>
      <c r="AW46" s="187" t="s">
        <v>484</v>
      </c>
      <c r="AX46" t="s">
        <v>649</v>
      </c>
      <c r="BA46">
        <v>617</v>
      </c>
      <c r="BB46" t="s">
        <v>222</v>
      </c>
      <c r="BC46" t="s">
        <v>671</v>
      </c>
      <c r="BD46" t="s">
        <v>268</v>
      </c>
      <c r="BE46" s="246">
        <v>39497.536111111112</v>
      </c>
      <c r="BF46" s="246">
        <v>39497.581250000003</v>
      </c>
      <c r="BG46">
        <v>1.2E-2</v>
      </c>
      <c r="BH46">
        <v>7.3113728753794753E-4</v>
      </c>
      <c r="BI46">
        <v>1.2E-2</v>
      </c>
      <c r="BJ46" s="49">
        <f t="shared" si="24"/>
        <v>0.12156000000000002</v>
      </c>
      <c r="BK46">
        <v>395</v>
      </c>
      <c r="BL46">
        <v>383</v>
      </c>
      <c r="BM46">
        <v>8.27</v>
      </c>
      <c r="BN46" s="172">
        <v>805961</v>
      </c>
      <c r="BO46" s="172" t="s">
        <v>672</v>
      </c>
      <c r="BP46">
        <v>68</v>
      </c>
      <c r="BQ46">
        <v>29.92</v>
      </c>
      <c r="BT46">
        <v>4.5</v>
      </c>
      <c r="BU46">
        <v>13.1</v>
      </c>
      <c r="BV46">
        <v>300</v>
      </c>
      <c r="BW46">
        <v>30.14</v>
      </c>
      <c r="BY46" t="s">
        <v>673</v>
      </c>
      <c r="BZ46" t="s">
        <v>676</v>
      </c>
      <c r="CA46" t="s">
        <v>675</v>
      </c>
      <c r="CB46">
        <v>395</v>
      </c>
      <c r="CC46">
        <v>195400</v>
      </c>
      <c r="CD46">
        <v>0.08</v>
      </c>
      <c r="CE46">
        <v>18238</v>
      </c>
      <c r="CF46">
        <v>1</v>
      </c>
      <c r="CZ46" s="53"/>
    </row>
    <row r="47" spans="1:104" ht="15.75" thickBot="1">
      <c r="B47" s="241" t="s">
        <v>201</v>
      </c>
      <c r="C47" s="241" t="s">
        <v>489</v>
      </c>
      <c r="D47" s="241" t="s">
        <v>686</v>
      </c>
      <c r="E47" s="247" t="str">
        <f t="shared" si="12"/>
        <v>3_fPM_T4_R4</v>
      </c>
      <c r="F47" s="241" t="s">
        <v>212</v>
      </c>
      <c r="G47" s="241">
        <f t="shared" si="13"/>
        <v>617</v>
      </c>
      <c r="H47" s="241" t="s">
        <v>669</v>
      </c>
      <c r="I47" s="241" t="str">
        <f t="shared" si="14"/>
        <v>Number 6 Fuel Oil</v>
      </c>
      <c r="J47" s="248">
        <v>1</v>
      </c>
      <c r="K47" s="241"/>
      <c r="L47" s="241"/>
      <c r="M47" s="241" t="s">
        <v>201</v>
      </c>
      <c r="N47" s="241" t="s">
        <v>475</v>
      </c>
      <c r="O47" s="241" t="str">
        <f t="shared" si="15"/>
        <v>Method 17</v>
      </c>
      <c r="P47" s="241"/>
      <c r="Q47" s="241"/>
      <c r="R47" s="241"/>
      <c r="S47" s="249">
        <f t="shared" si="16"/>
        <v>7.2670615246195997E-4</v>
      </c>
      <c r="T47" s="241">
        <f t="shared" si="25"/>
        <v>0</v>
      </c>
      <c r="U47" s="241"/>
      <c r="V47" s="241"/>
      <c r="W47" s="241"/>
      <c r="X47" s="241"/>
      <c r="Y47" s="241"/>
      <c r="Z47" s="241"/>
      <c r="AA47" s="241"/>
      <c r="AB47" s="241"/>
      <c r="AC47" s="241"/>
      <c r="AD47" s="250">
        <f t="shared" si="17"/>
        <v>4.4000000000000004</v>
      </c>
      <c r="AE47" s="247">
        <f t="shared" si="18"/>
        <v>13.2</v>
      </c>
      <c r="AF47" s="251"/>
      <c r="AG47" s="241"/>
      <c r="AH47" s="241"/>
      <c r="AI47" s="251">
        <f t="shared" si="19"/>
        <v>1.2999999999999999E-2</v>
      </c>
      <c r="AJ47" s="241" t="s">
        <v>192</v>
      </c>
      <c r="AK47" s="241"/>
      <c r="AL47" s="241">
        <v>9190</v>
      </c>
      <c r="AM47" s="241">
        <v>10320</v>
      </c>
      <c r="AN47" s="241">
        <f t="shared" si="23"/>
        <v>1420</v>
      </c>
      <c r="AO47" s="241"/>
      <c r="AP47" s="252">
        <f t="shared" si="20"/>
        <v>1.2999999999999999E-2</v>
      </c>
      <c r="AQ47" s="241"/>
      <c r="AR47" s="241"/>
      <c r="AS47" s="241"/>
      <c r="AT47" s="252">
        <f t="shared" si="21"/>
        <v>1.2999999999999999E-2</v>
      </c>
      <c r="AU47" s="247">
        <v>10.130000000000001</v>
      </c>
      <c r="AV47" s="253">
        <f t="shared" si="22"/>
        <v>0.13169</v>
      </c>
      <c r="AW47" s="187" t="s">
        <v>484</v>
      </c>
      <c r="AX47" t="s">
        <v>690</v>
      </c>
      <c r="BA47">
        <v>617</v>
      </c>
      <c r="BB47" t="s">
        <v>222</v>
      </c>
      <c r="BC47" t="s">
        <v>671</v>
      </c>
      <c r="BD47" t="s">
        <v>348</v>
      </c>
      <c r="BE47" s="246">
        <v>39497.583333333336</v>
      </c>
      <c r="BF47" s="246">
        <v>39497.62777777778</v>
      </c>
      <c r="BG47">
        <v>1.2999999999999999E-2</v>
      </c>
      <c r="BH47">
        <v>7.2670615246195997E-4</v>
      </c>
      <c r="BI47">
        <v>1.2999999999999999E-2</v>
      </c>
      <c r="BJ47" s="49">
        <f t="shared" si="24"/>
        <v>0.13169</v>
      </c>
      <c r="BK47">
        <v>395</v>
      </c>
      <c r="BL47">
        <v>383</v>
      </c>
      <c r="BM47">
        <v>8.3800000000000008</v>
      </c>
      <c r="BN47" s="172">
        <v>816490</v>
      </c>
      <c r="BO47" s="172" t="s">
        <v>672</v>
      </c>
      <c r="BP47">
        <v>68</v>
      </c>
      <c r="BQ47">
        <v>29.92</v>
      </c>
      <c r="BT47">
        <v>4.4000000000000004</v>
      </c>
      <c r="BU47">
        <v>13.2</v>
      </c>
      <c r="BV47">
        <v>300</v>
      </c>
      <c r="BW47">
        <v>30.14</v>
      </c>
      <c r="BY47" t="s">
        <v>673</v>
      </c>
      <c r="BZ47" t="s">
        <v>676</v>
      </c>
      <c r="CA47" t="s">
        <v>675</v>
      </c>
      <c r="CB47">
        <v>395</v>
      </c>
      <c r="CC47">
        <v>195400</v>
      </c>
      <c r="CD47">
        <v>0.08</v>
      </c>
      <c r="CE47">
        <v>18238</v>
      </c>
      <c r="CF47">
        <v>1</v>
      </c>
      <c r="CZ47" s="364"/>
    </row>
    <row r="48" spans="1:104">
      <c r="B48" s="241" t="s">
        <v>201</v>
      </c>
      <c r="C48" s="241" t="s">
        <v>489</v>
      </c>
      <c r="D48" s="241" t="s">
        <v>686</v>
      </c>
      <c r="E48" s="247" t="str">
        <f t="shared" si="12"/>
        <v>3_fPM_T4_R5</v>
      </c>
      <c r="F48" s="241" t="s">
        <v>212</v>
      </c>
      <c r="G48" s="241">
        <f t="shared" si="13"/>
        <v>617</v>
      </c>
      <c r="H48" s="241" t="s">
        <v>669</v>
      </c>
      <c r="I48" s="241" t="str">
        <f t="shared" si="14"/>
        <v>Number 6 Fuel Oil</v>
      </c>
      <c r="J48" s="248">
        <v>1</v>
      </c>
      <c r="K48" s="241"/>
      <c r="L48" s="241"/>
      <c r="M48" s="241" t="s">
        <v>201</v>
      </c>
      <c r="N48" s="241" t="s">
        <v>475</v>
      </c>
      <c r="O48" s="241" t="str">
        <f t="shared" si="15"/>
        <v>Method 17</v>
      </c>
      <c r="P48" s="241"/>
      <c r="Q48" s="241"/>
      <c r="R48" s="241"/>
      <c r="S48" s="249">
        <f t="shared" si="16"/>
        <v>7.2670615246195997E-4</v>
      </c>
      <c r="T48" s="241">
        <f t="shared" si="25"/>
        <v>0</v>
      </c>
      <c r="U48" s="241"/>
      <c r="V48" s="241"/>
      <c r="W48" s="241"/>
      <c r="X48" s="241"/>
      <c r="Y48" s="241"/>
      <c r="Z48" s="241"/>
      <c r="AA48" s="241"/>
      <c r="AB48" s="241"/>
      <c r="AC48" s="241"/>
      <c r="AD48" s="250">
        <f t="shared" si="17"/>
        <v>4.4000000000000004</v>
      </c>
      <c r="AE48" s="247">
        <f t="shared" si="18"/>
        <v>13.2</v>
      </c>
      <c r="AF48" s="251"/>
      <c r="AG48" s="241"/>
      <c r="AH48" s="241"/>
      <c r="AI48" s="251">
        <f t="shared" si="19"/>
        <v>1.0999999999999999E-2</v>
      </c>
      <c r="AJ48" s="241" t="s">
        <v>192</v>
      </c>
      <c r="AK48" s="241"/>
      <c r="AL48" s="241">
        <v>9190</v>
      </c>
      <c r="AM48" s="241">
        <v>10320</v>
      </c>
      <c r="AN48" s="241">
        <f t="shared" si="23"/>
        <v>1420</v>
      </c>
      <c r="AO48" s="241"/>
      <c r="AP48" s="252">
        <f t="shared" si="20"/>
        <v>1.0999999999999999E-2</v>
      </c>
      <c r="AQ48" s="241"/>
      <c r="AR48" s="241"/>
      <c r="AS48" s="241"/>
      <c r="AT48" s="252">
        <f t="shared" si="21"/>
        <v>1.0999999999999999E-2</v>
      </c>
      <c r="AU48" s="247">
        <v>10.130000000000001</v>
      </c>
      <c r="AV48" s="253">
        <f t="shared" si="22"/>
        <v>0.11143</v>
      </c>
      <c r="AW48" s="187" t="s">
        <v>484</v>
      </c>
      <c r="AX48" t="s">
        <v>691</v>
      </c>
      <c r="BA48">
        <v>617</v>
      </c>
      <c r="BB48" t="s">
        <v>222</v>
      </c>
      <c r="BC48" t="s">
        <v>671</v>
      </c>
      <c r="BD48" t="s">
        <v>679</v>
      </c>
      <c r="BE48" s="246">
        <v>39497.634722222225</v>
      </c>
      <c r="BF48" s="246">
        <v>39497.679861111108</v>
      </c>
      <c r="BG48">
        <v>1.0999999999999999E-2</v>
      </c>
      <c r="BH48">
        <v>7.2670615246195997E-4</v>
      </c>
      <c r="BI48">
        <v>1.0999999999999999E-2</v>
      </c>
      <c r="BJ48" s="49">
        <f t="shared" si="24"/>
        <v>0.11143</v>
      </c>
      <c r="BK48">
        <v>396</v>
      </c>
      <c r="BL48">
        <v>384</v>
      </c>
      <c r="BM48">
        <v>10.88</v>
      </c>
      <c r="BN48" s="172">
        <v>807595</v>
      </c>
      <c r="BO48" s="172" t="s">
        <v>672</v>
      </c>
      <c r="BP48">
        <v>68</v>
      </c>
      <c r="BQ48">
        <v>29.92</v>
      </c>
      <c r="BT48">
        <v>4.4000000000000004</v>
      </c>
      <c r="BU48">
        <v>13.2</v>
      </c>
      <c r="BV48">
        <v>300</v>
      </c>
      <c r="BW48">
        <v>30.14</v>
      </c>
      <c r="BY48" t="s">
        <v>673</v>
      </c>
      <c r="BZ48" t="s">
        <v>674</v>
      </c>
      <c r="CA48" t="s">
        <v>675</v>
      </c>
      <c r="CB48">
        <v>396</v>
      </c>
      <c r="CC48">
        <v>195400</v>
      </c>
      <c r="CD48">
        <v>0.08</v>
      </c>
      <c r="CE48">
        <v>18238</v>
      </c>
      <c r="CF48">
        <v>1</v>
      </c>
      <c r="CZ48" s="53"/>
    </row>
    <row r="49" spans="2:116">
      <c r="B49" s="241" t="s">
        <v>201</v>
      </c>
      <c r="C49" s="241" t="s">
        <v>489</v>
      </c>
      <c r="D49" s="241" t="s">
        <v>686</v>
      </c>
      <c r="E49" s="247" t="str">
        <f t="shared" si="12"/>
        <v>3_fPM_T4_R6</v>
      </c>
      <c r="F49" s="241" t="s">
        <v>212</v>
      </c>
      <c r="G49" s="241">
        <f t="shared" si="13"/>
        <v>617</v>
      </c>
      <c r="H49" s="241" t="s">
        <v>669</v>
      </c>
      <c r="I49" s="241" t="str">
        <f t="shared" si="14"/>
        <v>Number 6 Fuel Oil</v>
      </c>
      <c r="J49" s="248">
        <v>1</v>
      </c>
      <c r="K49" s="241"/>
      <c r="L49" s="241"/>
      <c r="M49" s="241" t="s">
        <v>201</v>
      </c>
      <c r="N49" s="241" t="s">
        <v>475</v>
      </c>
      <c r="O49" s="241" t="str">
        <f t="shared" si="15"/>
        <v>Method 17</v>
      </c>
      <c r="P49" s="241"/>
      <c r="Q49" s="241"/>
      <c r="R49" s="241"/>
      <c r="S49" s="249">
        <f t="shared" si="16"/>
        <v>7.3562279236946877E-4</v>
      </c>
      <c r="T49" s="241">
        <f t="shared" si="25"/>
        <v>0</v>
      </c>
      <c r="U49" s="241"/>
      <c r="V49" s="241"/>
      <c r="W49" s="241"/>
      <c r="X49" s="241"/>
      <c r="Y49" s="241"/>
      <c r="Z49" s="241"/>
      <c r="AA49" s="241"/>
      <c r="AB49" s="241"/>
      <c r="AC49" s="241"/>
      <c r="AD49" s="250">
        <f t="shared" si="17"/>
        <v>4.5999999999999996</v>
      </c>
      <c r="AE49" s="247">
        <f t="shared" si="18"/>
        <v>13.2</v>
      </c>
      <c r="AF49" s="251"/>
      <c r="AG49" s="241"/>
      <c r="AH49" s="241"/>
      <c r="AI49" s="251">
        <f t="shared" si="19"/>
        <v>8.9999999999999993E-3</v>
      </c>
      <c r="AJ49" s="241" t="s">
        <v>192</v>
      </c>
      <c r="AK49" s="241"/>
      <c r="AL49" s="241">
        <v>9190</v>
      </c>
      <c r="AM49" s="241">
        <v>10320</v>
      </c>
      <c r="AN49" s="241">
        <f t="shared" si="23"/>
        <v>1420</v>
      </c>
      <c r="AO49" s="241"/>
      <c r="AP49" s="252">
        <f t="shared" si="20"/>
        <v>8.9999999999999993E-3</v>
      </c>
      <c r="AQ49" s="241"/>
      <c r="AR49" s="241"/>
      <c r="AS49" s="241"/>
      <c r="AT49" s="252">
        <f t="shared" si="21"/>
        <v>8.9999999999999993E-3</v>
      </c>
      <c r="AU49" s="247">
        <v>10.130000000000001</v>
      </c>
      <c r="AV49" s="253">
        <f t="shared" si="22"/>
        <v>9.1170000000000001E-2</v>
      </c>
      <c r="AW49" s="187" t="s">
        <v>484</v>
      </c>
      <c r="AX49" t="s">
        <v>692</v>
      </c>
      <c r="BA49">
        <v>617</v>
      </c>
      <c r="BB49" t="s">
        <v>222</v>
      </c>
      <c r="BC49" t="s">
        <v>671</v>
      </c>
      <c r="BD49" t="s">
        <v>681</v>
      </c>
      <c r="BE49" s="246">
        <v>39497.686805555553</v>
      </c>
      <c r="BF49" s="246">
        <v>39497.731944444444</v>
      </c>
      <c r="BG49">
        <v>8.9999999999999993E-3</v>
      </c>
      <c r="BH49">
        <v>7.3562279236946877E-4</v>
      </c>
      <c r="BI49">
        <v>8.9999999999999993E-3</v>
      </c>
      <c r="BJ49" s="49">
        <f t="shared" si="24"/>
        <v>9.1170000000000001E-2</v>
      </c>
      <c r="BK49">
        <v>396</v>
      </c>
      <c r="BL49">
        <v>383</v>
      </c>
      <c r="BM49">
        <v>9.83</v>
      </c>
      <c r="BN49" s="172">
        <v>821228</v>
      </c>
      <c r="BO49" s="172" t="s">
        <v>672</v>
      </c>
      <c r="BP49">
        <v>68</v>
      </c>
      <c r="BQ49">
        <v>29.92</v>
      </c>
      <c r="BT49">
        <v>4.5999999999999996</v>
      </c>
      <c r="BU49">
        <v>13.2</v>
      </c>
      <c r="BV49">
        <v>300</v>
      </c>
      <c r="BW49">
        <v>30.14</v>
      </c>
      <c r="BY49" t="s">
        <v>673</v>
      </c>
      <c r="BZ49" t="s">
        <v>674</v>
      </c>
      <c r="CA49" t="s">
        <v>675</v>
      </c>
      <c r="CB49">
        <v>396</v>
      </c>
      <c r="CC49">
        <v>195400</v>
      </c>
      <c r="CD49">
        <v>0.08</v>
      </c>
      <c r="CE49">
        <v>18238</v>
      </c>
      <c r="CF49">
        <v>1</v>
      </c>
      <c r="CZ49" s="53"/>
    </row>
    <row r="50" spans="2:116" ht="15.75" thickBot="1">
      <c r="B50" s="241" t="s">
        <v>201</v>
      </c>
      <c r="C50" s="241" t="s">
        <v>489</v>
      </c>
      <c r="D50" s="241" t="s">
        <v>686</v>
      </c>
      <c r="E50" s="247" t="str">
        <f t="shared" si="12"/>
        <v>3_fPM_T5_R1</v>
      </c>
      <c r="F50" s="241" t="s">
        <v>212</v>
      </c>
      <c r="G50" s="241">
        <f t="shared" si="13"/>
        <v>617</v>
      </c>
      <c r="H50" s="241" t="s">
        <v>669</v>
      </c>
      <c r="I50" s="241" t="str">
        <f t="shared" si="14"/>
        <v>Number 6 Fuel Oil</v>
      </c>
      <c r="J50" s="248">
        <v>1</v>
      </c>
      <c r="K50" s="241"/>
      <c r="L50" s="241"/>
      <c r="M50" s="241" t="s">
        <v>201</v>
      </c>
      <c r="N50" s="241" t="s">
        <v>475</v>
      </c>
      <c r="O50" s="241" t="str">
        <f t="shared" si="15"/>
        <v>Method 17</v>
      </c>
      <c r="P50" s="241"/>
      <c r="Q50" s="241"/>
      <c r="R50" s="241"/>
      <c r="S50" s="249">
        <f t="shared" si="16"/>
        <v>7.2232840455556272E-4</v>
      </c>
      <c r="T50" s="241">
        <f t="shared" si="25"/>
        <v>0</v>
      </c>
      <c r="U50" s="241"/>
      <c r="V50" s="241"/>
      <c r="W50" s="241"/>
      <c r="X50" s="241"/>
      <c r="Y50" s="241"/>
      <c r="Z50" s="241"/>
      <c r="AA50" s="241"/>
      <c r="AB50" s="241"/>
      <c r="AC50" s="241"/>
      <c r="AD50" s="250">
        <f t="shared" si="17"/>
        <v>4.3</v>
      </c>
      <c r="AE50" s="247">
        <f t="shared" si="18"/>
        <v>13.2</v>
      </c>
      <c r="AF50" s="251"/>
      <c r="AG50" s="241"/>
      <c r="AH50" s="241"/>
      <c r="AI50" s="251">
        <f t="shared" si="19"/>
        <v>1E-3</v>
      </c>
      <c r="AJ50" s="241" t="s">
        <v>192</v>
      </c>
      <c r="AK50" s="241"/>
      <c r="AL50" s="241">
        <v>9190</v>
      </c>
      <c r="AM50" s="241">
        <v>10320</v>
      </c>
      <c r="AN50" s="241">
        <f t="shared" si="23"/>
        <v>1420</v>
      </c>
      <c r="AO50" s="241"/>
      <c r="AP50" s="252">
        <f t="shared" si="20"/>
        <v>1E-3</v>
      </c>
      <c r="AQ50" s="241"/>
      <c r="AR50" s="241"/>
      <c r="AS50" s="241"/>
      <c r="AT50" s="252">
        <f t="shared" si="21"/>
        <v>1E-3</v>
      </c>
      <c r="AU50" s="247">
        <v>10.130000000000001</v>
      </c>
      <c r="AV50" s="253">
        <f t="shared" si="22"/>
        <v>1.0130000000000002E-2</v>
      </c>
      <c r="AW50" s="187" t="s">
        <v>484</v>
      </c>
      <c r="AX50" t="s">
        <v>693</v>
      </c>
      <c r="BA50">
        <v>617</v>
      </c>
      <c r="BB50" t="s">
        <v>216</v>
      </c>
      <c r="BC50" t="s">
        <v>671</v>
      </c>
      <c r="BD50" t="s">
        <v>352</v>
      </c>
      <c r="BE50" s="246">
        <v>39889.380555555559</v>
      </c>
      <c r="BF50" s="246">
        <v>39889.429861111108</v>
      </c>
      <c r="BG50">
        <v>1E-3</v>
      </c>
      <c r="BH50">
        <v>7.2232840455556272E-4</v>
      </c>
      <c r="BI50">
        <v>1E-3</v>
      </c>
      <c r="BJ50" s="49">
        <f t="shared" si="24"/>
        <v>1.0130000000000002E-2</v>
      </c>
      <c r="BK50">
        <v>385</v>
      </c>
      <c r="BL50">
        <v>374</v>
      </c>
      <c r="BM50">
        <v>11.29</v>
      </c>
      <c r="BN50" s="172">
        <v>761597</v>
      </c>
      <c r="BO50" s="172" t="s">
        <v>672</v>
      </c>
      <c r="BP50">
        <v>68</v>
      </c>
      <c r="BQ50">
        <v>29.92</v>
      </c>
      <c r="BT50">
        <v>4.3</v>
      </c>
      <c r="BU50">
        <v>13.2</v>
      </c>
      <c r="BV50">
        <v>300</v>
      </c>
      <c r="BW50">
        <v>29.97</v>
      </c>
      <c r="BY50" t="s">
        <v>673</v>
      </c>
      <c r="BZ50" t="s">
        <v>676</v>
      </c>
      <c r="CA50" t="s">
        <v>675</v>
      </c>
      <c r="CB50">
        <v>385</v>
      </c>
      <c r="CC50">
        <v>188100</v>
      </c>
      <c r="CD50">
        <v>0.08</v>
      </c>
      <c r="CE50">
        <v>18408</v>
      </c>
      <c r="CF50">
        <v>0.96</v>
      </c>
      <c r="CZ50" s="364">
        <f>AVERAGE(AV50:AV55)</f>
        <v>1.3506666666666669E-2</v>
      </c>
    </row>
    <row r="51" spans="2:116">
      <c r="B51" s="241" t="s">
        <v>201</v>
      </c>
      <c r="C51" s="241" t="s">
        <v>489</v>
      </c>
      <c r="D51" s="241" t="s">
        <v>686</v>
      </c>
      <c r="E51" s="247" t="str">
        <f t="shared" si="12"/>
        <v>3_fPM_T5_R2</v>
      </c>
      <c r="F51" s="241" t="s">
        <v>212</v>
      </c>
      <c r="G51" s="241">
        <f t="shared" si="13"/>
        <v>617</v>
      </c>
      <c r="H51" s="241" t="s">
        <v>669</v>
      </c>
      <c r="I51" s="241" t="str">
        <f t="shared" si="14"/>
        <v>Number 6 Fuel Oil</v>
      </c>
      <c r="J51" s="248">
        <v>1</v>
      </c>
      <c r="K51" s="241"/>
      <c r="L51" s="241"/>
      <c r="M51" s="241" t="s">
        <v>201</v>
      </c>
      <c r="N51" s="241" t="s">
        <v>475</v>
      </c>
      <c r="O51" s="241" t="str">
        <f t="shared" si="15"/>
        <v>Method 17</v>
      </c>
      <c r="P51" s="241"/>
      <c r="Q51" s="241"/>
      <c r="R51" s="241"/>
      <c r="S51" s="249">
        <f t="shared" si="16"/>
        <v>7.180030847678048E-4</v>
      </c>
      <c r="T51" s="241">
        <f t="shared" si="25"/>
        <v>0</v>
      </c>
      <c r="U51" s="241"/>
      <c r="V51" s="241"/>
      <c r="W51" s="241"/>
      <c r="X51" s="241"/>
      <c r="Y51" s="241"/>
      <c r="Z51" s="241"/>
      <c r="AA51" s="241"/>
      <c r="AB51" s="241"/>
      <c r="AC51" s="241"/>
      <c r="AD51" s="250">
        <f t="shared" si="17"/>
        <v>4.2</v>
      </c>
      <c r="AE51" s="247">
        <f t="shared" si="18"/>
        <v>13.4</v>
      </c>
      <c r="AF51" s="251"/>
      <c r="AG51" s="241"/>
      <c r="AH51" s="241"/>
      <c r="AI51" s="251">
        <f t="shared" si="19"/>
        <v>1E-3</v>
      </c>
      <c r="AJ51" s="241" t="s">
        <v>192</v>
      </c>
      <c r="AK51" s="241"/>
      <c r="AL51" s="241">
        <v>9190</v>
      </c>
      <c r="AM51" s="241">
        <v>10320</v>
      </c>
      <c r="AN51" s="241">
        <f t="shared" si="23"/>
        <v>1420</v>
      </c>
      <c r="AO51" s="241"/>
      <c r="AP51" s="252">
        <f t="shared" si="20"/>
        <v>1E-3</v>
      </c>
      <c r="AQ51" s="241"/>
      <c r="AR51" s="241"/>
      <c r="AS51" s="241"/>
      <c r="AT51" s="252">
        <f t="shared" si="21"/>
        <v>1E-3</v>
      </c>
      <c r="AU51" s="247">
        <v>10.130000000000001</v>
      </c>
      <c r="AV51" s="253">
        <f t="shared" si="22"/>
        <v>1.0130000000000002E-2</v>
      </c>
      <c r="AW51" s="187" t="s">
        <v>484</v>
      </c>
      <c r="AX51" t="s">
        <v>694</v>
      </c>
      <c r="BA51">
        <v>617</v>
      </c>
      <c r="BB51" t="s">
        <v>216</v>
      </c>
      <c r="BC51" t="s">
        <v>671</v>
      </c>
      <c r="BD51" t="s">
        <v>232</v>
      </c>
      <c r="BE51" s="246">
        <v>39889.436805555553</v>
      </c>
      <c r="BF51" s="246">
        <v>39889.48333333333</v>
      </c>
      <c r="BG51">
        <v>1E-3</v>
      </c>
      <c r="BH51">
        <v>7.180030847678048E-4</v>
      </c>
      <c r="BI51">
        <v>1E-3</v>
      </c>
      <c r="BJ51" s="49">
        <f t="shared" si="24"/>
        <v>1.0130000000000002E-2</v>
      </c>
      <c r="BK51">
        <v>384</v>
      </c>
      <c r="BL51">
        <v>374</v>
      </c>
      <c r="BM51">
        <v>11.73</v>
      </c>
      <c r="BN51" s="172">
        <v>758404</v>
      </c>
      <c r="BO51" s="172" t="s">
        <v>672</v>
      </c>
      <c r="BP51">
        <v>68</v>
      </c>
      <c r="BQ51">
        <v>29.92</v>
      </c>
      <c r="BT51">
        <v>4.2</v>
      </c>
      <c r="BU51">
        <v>13.4</v>
      </c>
      <c r="BV51">
        <v>300</v>
      </c>
      <c r="BW51">
        <v>29.97</v>
      </c>
      <c r="BY51" t="s">
        <v>673</v>
      </c>
      <c r="BZ51" t="s">
        <v>674</v>
      </c>
      <c r="CA51" t="s">
        <v>675</v>
      </c>
      <c r="CB51">
        <v>384</v>
      </c>
      <c r="CC51">
        <v>188100</v>
      </c>
      <c r="CD51">
        <v>0.08</v>
      </c>
      <c r="CE51">
        <v>18408</v>
      </c>
      <c r="CF51">
        <v>0.96</v>
      </c>
      <c r="CZ51" s="53"/>
    </row>
    <row r="52" spans="2:116">
      <c r="B52" s="241" t="s">
        <v>201</v>
      </c>
      <c r="C52" s="241" t="s">
        <v>489</v>
      </c>
      <c r="D52" s="241" t="s">
        <v>686</v>
      </c>
      <c r="E52" s="247" t="str">
        <f t="shared" si="12"/>
        <v>3_fPM_T5_R3</v>
      </c>
      <c r="F52" s="241" t="s">
        <v>212</v>
      </c>
      <c r="G52" s="241">
        <f t="shared" si="13"/>
        <v>617</v>
      </c>
      <c r="H52" s="241" t="s">
        <v>669</v>
      </c>
      <c r="I52" s="241" t="str">
        <f t="shared" si="14"/>
        <v>Number 6 Fuel Oil</v>
      </c>
      <c r="J52" s="248">
        <v>1</v>
      </c>
      <c r="K52" s="241"/>
      <c r="L52" s="241"/>
      <c r="M52" s="241" t="s">
        <v>201</v>
      </c>
      <c r="N52" s="241" t="s">
        <v>475</v>
      </c>
      <c r="O52" s="241" t="str">
        <f t="shared" si="15"/>
        <v>Method 17</v>
      </c>
      <c r="P52" s="241"/>
      <c r="Q52" s="241"/>
      <c r="R52" s="241"/>
      <c r="S52" s="249">
        <f t="shared" si="16"/>
        <v>7.180030847678048E-4</v>
      </c>
      <c r="T52" s="241">
        <f t="shared" si="25"/>
        <v>0</v>
      </c>
      <c r="U52" s="241"/>
      <c r="V52" s="241"/>
      <c r="W52" s="241"/>
      <c r="X52" s="241"/>
      <c r="Y52" s="241"/>
      <c r="Z52" s="241"/>
      <c r="AA52" s="241"/>
      <c r="AB52" s="241"/>
      <c r="AC52" s="241"/>
      <c r="AD52" s="250">
        <f t="shared" si="17"/>
        <v>4.2</v>
      </c>
      <c r="AE52" s="247">
        <f t="shared" si="18"/>
        <v>13.3</v>
      </c>
      <c r="AF52" s="251"/>
      <c r="AG52" s="241"/>
      <c r="AH52" s="241"/>
      <c r="AI52" s="251">
        <f t="shared" si="19"/>
        <v>2E-3</v>
      </c>
      <c r="AJ52" s="241" t="s">
        <v>192</v>
      </c>
      <c r="AK52" s="241"/>
      <c r="AL52" s="241">
        <v>9190</v>
      </c>
      <c r="AM52" s="241">
        <v>10320</v>
      </c>
      <c r="AN52" s="241">
        <f t="shared" si="23"/>
        <v>1420</v>
      </c>
      <c r="AO52" s="241"/>
      <c r="AP52" s="252">
        <f t="shared" si="20"/>
        <v>2E-3</v>
      </c>
      <c r="AQ52" s="241"/>
      <c r="AR52" s="241"/>
      <c r="AS52" s="241"/>
      <c r="AT52" s="252">
        <f t="shared" si="21"/>
        <v>2E-3</v>
      </c>
      <c r="AU52" s="247">
        <v>10.130000000000001</v>
      </c>
      <c r="AV52" s="253">
        <f t="shared" si="22"/>
        <v>2.0260000000000004E-2</v>
      </c>
      <c r="AW52" s="187" t="s">
        <v>484</v>
      </c>
      <c r="AX52" t="s">
        <v>695</v>
      </c>
      <c r="BA52">
        <v>617</v>
      </c>
      <c r="BB52" t="s">
        <v>216</v>
      </c>
      <c r="BC52" t="s">
        <v>671</v>
      </c>
      <c r="BD52" t="s">
        <v>268</v>
      </c>
      <c r="BE52" s="246">
        <v>39889.489583333336</v>
      </c>
      <c r="BF52" s="246">
        <v>39889.535416666666</v>
      </c>
      <c r="BG52">
        <v>2E-3</v>
      </c>
      <c r="BH52">
        <v>7.180030847678048E-4</v>
      </c>
      <c r="BI52">
        <v>2E-3</v>
      </c>
      <c r="BJ52" s="49">
        <f t="shared" si="24"/>
        <v>2.0260000000000004E-2</v>
      </c>
      <c r="BK52">
        <v>384</v>
      </c>
      <c r="BL52">
        <v>374</v>
      </c>
      <c r="BM52">
        <v>10.7</v>
      </c>
      <c r="BN52" s="172">
        <v>751853</v>
      </c>
      <c r="BO52" s="172" t="s">
        <v>672</v>
      </c>
      <c r="BP52">
        <v>68</v>
      </c>
      <c r="BQ52">
        <v>29.92</v>
      </c>
      <c r="BT52">
        <v>4.2</v>
      </c>
      <c r="BU52">
        <v>13.3</v>
      </c>
      <c r="BV52">
        <v>300</v>
      </c>
      <c r="BW52">
        <v>29.97</v>
      </c>
      <c r="BY52" t="s">
        <v>673</v>
      </c>
      <c r="BZ52" t="s">
        <v>676</v>
      </c>
      <c r="CA52" t="s">
        <v>675</v>
      </c>
      <c r="CB52">
        <v>384</v>
      </c>
      <c r="CC52">
        <v>188100</v>
      </c>
      <c r="CD52">
        <v>0.08</v>
      </c>
      <c r="CE52">
        <v>18408</v>
      </c>
      <c r="CF52">
        <v>0.96</v>
      </c>
      <c r="CZ52" s="53"/>
    </row>
    <row r="53" spans="2:116" ht="15.75" thickBot="1">
      <c r="B53" s="241" t="s">
        <v>201</v>
      </c>
      <c r="C53" s="241" t="s">
        <v>489</v>
      </c>
      <c r="D53" s="241" t="s">
        <v>686</v>
      </c>
      <c r="E53" s="247" t="str">
        <f t="shared" si="12"/>
        <v>3_fPM_T5_R4</v>
      </c>
      <c r="F53" s="241" t="s">
        <v>212</v>
      </c>
      <c r="G53" s="241">
        <f t="shared" si="13"/>
        <v>617</v>
      </c>
      <c r="H53" s="241" t="s">
        <v>669</v>
      </c>
      <c r="I53" s="241" t="str">
        <f t="shared" si="14"/>
        <v>Number 6 Fuel Oil</v>
      </c>
      <c r="J53" s="248">
        <v>1</v>
      </c>
      <c r="K53" s="241"/>
      <c r="L53" s="241"/>
      <c r="M53" s="241" t="s">
        <v>201</v>
      </c>
      <c r="N53" s="241" t="s">
        <v>475</v>
      </c>
      <c r="O53" s="241" t="str">
        <f t="shared" si="15"/>
        <v>Method 17</v>
      </c>
      <c r="P53" s="241"/>
      <c r="Q53" s="241"/>
      <c r="R53" s="241"/>
      <c r="S53" s="249">
        <f t="shared" si="16"/>
        <v>7.1372925688228213E-4</v>
      </c>
      <c r="T53" s="241">
        <f t="shared" si="25"/>
        <v>0</v>
      </c>
      <c r="U53" s="241"/>
      <c r="V53" s="241"/>
      <c r="W53" s="241"/>
      <c r="X53" s="241"/>
      <c r="Y53" s="241"/>
      <c r="Z53" s="241"/>
      <c r="AA53" s="241"/>
      <c r="AB53" s="241"/>
      <c r="AC53" s="241"/>
      <c r="AD53" s="250">
        <f t="shared" si="17"/>
        <v>4.0999999999999996</v>
      </c>
      <c r="AE53" s="247">
        <f t="shared" si="18"/>
        <v>13.3</v>
      </c>
      <c r="AF53" s="251"/>
      <c r="AG53" s="241"/>
      <c r="AH53" s="241"/>
      <c r="AI53" s="251">
        <f t="shared" si="19"/>
        <v>1E-3</v>
      </c>
      <c r="AJ53" s="241" t="s">
        <v>192</v>
      </c>
      <c r="AK53" s="241"/>
      <c r="AL53" s="241">
        <v>9190</v>
      </c>
      <c r="AM53" s="241">
        <v>10320</v>
      </c>
      <c r="AN53" s="241">
        <f t="shared" si="23"/>
        <v>1420</v>
      </c>
      <c r="AO53" s="241"/>
      <c r="AP53" s="252">
        <f t="shared" si="20"/>
        <v>1E-3</v>
      </c>
      <c r="AQ53" s="241"/>
      <c r="AR53" s="241"/>
      <c r="AS53" s="241"/>
      <c r="AT53" s="252">
        <f t="shared" si="21"/>
        <v>1E-3</v>
      </c>
      <c r="AU53" s="247">
        <v>10.130000000000001</v>
      </c>
      <c r="AV53" s="253">
        <f t="shared" si="22"/>
        <v>1.0130000000000002E-2</v>
      </c>
      <c r="AW53" s="187" t="s">
        <v>484</v>
      </c>
      <c r="AX53" t="s">
        <v>696</v>
      </c>
      <c r="BA53">
        <v>617</v>
      </c>
      <c r="BB53" t="s">
        <v>216</v>
      </c>
      <c r="BC53" t="s">
        <v>671</v>
      </c>
      <c r="BD53" t="s">
        <v>348</v>
      </c>
      <c r="BE53" s="246">
        <v>39889.541666666664</v>
      </c>
      <c r="BF53" s="246">
        <v>39889.587500000001</v>
      </c>
      <c r="BG53">
        <v>1E-3</v>
      </c>
      <c r="BH53">
        <v>7.1372925688228213E-4</v>
      </c>
      <c r="BI53">
        <v>1E-3</v>
      </c>
      <c r="BJ53" s="49">
        <f t="shared" si="24"/>
        <v>1.0130000000000002E-2</v>
      </c>
      <c r="BK53">
        <v>384</v>
      </c>
      <c r="BL53">
        <v>374</v>
      </c>
      <c r="BM53">
        <v>11.03</v>
      </c>
      <c r="BN53" s="172">
        <v>744195</v>
      </c>
      <c r="BO53" s="172" t="s">
        <v>672</v>
      </c>
      <c r="BP53">
        <v>68</v>
      </c>
      <c r="BQ53">
        <v>29.92</v>
      </c>
      <c r="BT53">
        <v>4.0999999999999996</v>
      </c>
      <c r="BU53">
        <v>13.3</v>
      </c>
      <c r="BV53">
        <v>300</v>
      </c>
      <c r="BW53">
        <v>29.97</v>
      </c>
      <c r="BY53" t="s">
        <v>673</v>
      </c>
      <c r="BZ53" t="s">
        <v>676</v>
      </c>
      <c r="CA53" t="s">
        <v>675</v>
      </c>
      <c r="CB53">
        <v>384</v>
      </c>
      <c r="CC53">
        <v>188100</v>
      </c>
      <c r="CD53">
        <v>0.08</v>
      </c>
      <c r="CE53">
        <v>18408</v>
      </c>
      <c r="CF53">
        <v>0.96</v>
      </c>
      <c r="CZ53" s="364"/>
    </row>
    <row r="54" spans="2:116">
      <c r="B54" s="241" t="s">
        <v>201</v>
      </c>
      <c r="C54" s="241" t="s">
        <v>489</v>
      </c>
      <c r="D54" s="241" t="s">
        <v>686</v>
      </c>
      <c r="E54" s="247" t="str">
        <f t="shared" si="12"/>
        <v>3_fPM_T5_R5</v>
      </c>
      <c r="F54" s="241" t="s">
        <v>212</v>
      </c>
      <c r="G54" s="241">
        <f t="shared" si="13"/>
        <v>617</v>
      </c>
      <c r="H54" s="241" t="s">
        <v>669</v>
      </c>
      <c r="I54" s="241" t="str">
        <f t="shared" si="14"/>
        <v>Number 6 Fuel Oil</v>
      </c>
      <c r="J54" s="248">
        <v>1</v>
      </c>
      <c r="K54" s="241"/>
      <c r="L54" s="241"/>
      <c r="M54" s="241" t="s">
        <v>201</v>
      </c>
      <c r="N54" s="241" t="s">
        <v>475</v>
      </c>
      <c r="O54" s="241" t="str">
        <f t="shared" si="15"/>
        <v>Method 17</v>
      </c>
      <c r="P54" s="241"/>
      <c r="Q54" s="241"/>
      <c r="R54" s="241"/>
      <c r="S54" s="249">
        <f t="shared" si="16"/>
        <v>7.1372925688228213E-4</v>
      </c>
      <c r="T54" s="241">
        <f t="shared" si="25"/>
        <v>0</v>
      </c>
      <c r="U54" s="241"/>
      <c r="V54" s="241"/>
      <c r="W54" s="241"/>
      <c r="X54" s="241"/>
      <c r="Y54" s="241"/>
      <c r="Z54" s="241"/>
      <c r="AA54" s="241"/>
      <c r="AB54" s="241"/>
      <c r="AC54" s="241"/>
      <c r="AD54" s="250">
        <f t="shared" si="17"/>
        <v>4.0999999999999996</v>
      </c>
      <c r="AE54" s="247">
        <f t="shared" si="18"/>
        <v>13.3</v>
      </c>
      <c r="AF54" s="251"/>
      <c r="AG54" s="241"/>
      <c r="AH54" s="241"/>
      <c r="AI54" s="251">
        <f t="shared" si="19"/>
        <v>2E-3</v>
      </c>
      <c r="AJ54" s="241" t="s">
        <v>192</v>
      </c>
      <c r="AK54" s="241"/>
      <c r="AL54" s="241">
        <v>9190</v>
      </c>
      <c r="AM54" s="241">
        <v>10320</v>
      </c>
      <c r="AN54" s="241">
        <f t="shared" si="23"/>
        <v>1420</v>
      </c>
      <c r="AO54" s="241"/>
      <c r="AP54" s="252">
        <f t="shared" si="20"/>
        <v>2E-3</v>
      </c>
      <c r="AQ54" s="241"/>
      <c r="AR54" s="241"/>
      <c r="AS54" s="241"/>
      <c r="AT54" s="252">
        <f t="shared" si="21"/>
        <v>2E-3</v>
      </c>
      <c r="AU54" s="247">
        <v>10.130000000000001</v>
      </c>
      <c r="AV54" s="253">
        <f t="shared" si="22"/>
        <v>2.0260000000000004E-2</v>
      </c>
      <c r="AW54" s="187" t="s">
        <v>484</v>
      </c>
      <c r="AX54" t="s">
        <v>697</v>
      </c>
      <c r="BA54">
        <v>617</v>
      </c>
      <c r="BB54" t="s">
        <v>216</v>
      </c>
      <c r="BC54" t="s">
        <v>671</v>
      </c>
      <c r="BD54" t="s">
        <v>679</v>
      </c>
      <c r="BE54" s="246">
        <v>39889.594444444447</v>
      </c>
      <c r="BF54" s="246">
        <v>39889.640972222223</v>
      </c>
      <c r="BG54">
        <v>2E-3</v>
      </c>
      <c r="BH54">
        <v>7.1372925688228213E-4</v>
      </c>
      <c r="BI54">
        <v>2E-3</v>
      </c>
      <c r="BJ54" s="49">
        <f t="shared" si="24"/>
        <v>2.0260000000000004E-2</v>
      </c>
      <c r="BK54">
        <v>384</v>
      </c>
      <c r="BL54">
        <v>374</v>
      </c>
      <c r="BM54">
        <v>10.82</v>
      </c>
      <c r="BN54" s="172">
        <v>748950</v>
      </c>
      <c r="BO54" s="172" t="s">
        <v>672</v>
      </c>
      <c r="BP54">
        <v>68</v>
      </c>
      <c r="BQ54">
        <v>29.92</v>
      </c>
      <c r="BT54">
        <v>4.0999999999999996</v>
      </c>
      <c r="BU54">
        <v>13.3</v>
      </c>
      <c r="BV54">
        <v>300</v>
      </c>
      <c r="BW54">
        <v>29.97</v>
      </c>
      <c r="BY54" t="s">
        <v>673</v>
      </c>
      <c r="BZ54" t="s">
        <v>674</v>
      </c>
      <c r="CA54" t="s">
        <v>675</v>
      </c>
      <c r="CB54">
        <v>384</v>
      </c>
      <c r="CC54">
        <v>188100</v>
      </c>
      <c r="CD54">
        <v>0.08</v>
      </c>
      <c r="CE54">
        <v>18408</v>
      </c>
      <c r="CF54">
        <v>0.96</v>
      </c>
      <c r="CZ54" s="53"/>
    </row>
    <row r="55" spans="2:116">
      <c r="B55" s="241" t="s">
        <v>201</v>
      </c>
      <c r="C55" s="241" t="s">
        <v>489</v>
      </c>
      <c r="D55" s="241" t="s">
        <v>686</v>
      </c>
      <c r="E55" s="247" t="str">
        <f t="shared" si="12"/>
        <v>3_fPM_T5_R6</v>
      </c>
      <c r="F55" s="241" t="s">
        <v>212</v>
      </c>
      <c r="G55" s="241">
        <f t="shared" si="13"/>
        <v>617</v>
      </c>
      <c r="H55" s="241" t="s">
        <v>669</v>
      </c>
      <c r="I55" s="241" t="str">
        <f t="shared" si="14"/>
        <v>Number 6 Fuel Oil</v>
      </c>
      <c r="J55" s="248">
        <v>1</v>
      </c>
      <c r="K55" s="241"/>
      <c r="L55" s="241"/>
      <c r="M55" s="241" t="s">
        <v>201</v>
      </c>
      <c r="N55" s="241" t="s">
        <v>475</v>
      </c>
      <c r="O55" s="241" t="str">
        <f t="shared" si="15"/>
        <v>Method 17</v>
      </c>
      <c r="P55" s="241"/>
      <c r="Q55" s="241"/>
      <c r="R55" s="241"/>
      <c r="S55" s="249">
        <f t="shared" si="16"/>
        <v>7.1372925688228213E-4</v>
      </c>
      <c r="T55" s="241">
        <f t="shared" si="25"/>
        <v>0</v>
      </c>
      <c r="U55" s="241"/>
      <c r="V55" s="241"/>
      <c r="W55" s="241"/>
      <c r="X55" s="241"/>
      <c r="Y55" s="241"/>
      <c r="Z55" s="241"/>
      <c r="AA55" s="241"/>
      <c r="AB55" s="241"/>
      <c r="AC55" s="241"/>
      <c r="AD55" s="250">
        <f t="shared" si="17"/>
        <v>4.0999999999999996</v>
      </c>
      <c r="AE55" s="247">
        <f t="shared" si="18"/>
        <v>13.3</v>
      </c>
      <c r="AF55" s="251"/>
      <c r="AG55" s="241"/>
      <c r="AH55" s="241"/>
      <c r="AI55" s="251">
        <f t="shared" si="19"/>
        <v>1E-3</v>
      </c>
      <c r="AJ55" s="241" t="s">
        <v>192</v>
      </c>
      <c r="AK55" s="241"/>
      <c r="AL55" s="241">
        <v>9190</v>
      </c>
      <c r="AM55" s="241">
        <v>10320</v>
      </c>
      <c r="AN55" s="241">
        <f t="shared" si="23"/>
        <v>1420</v>
      </c>
      <c r="AO55" s="241"/>
      <c r="AP55" s="252">
        <f t="shared" si="20"/>
        <v>1E-3</v>
      </c>
      <c r="AQ55" s="241"/>
      <c r="AR55" s="241"/>
      <c r="AS55" s="241"/>
      <c r="AT55" s="252">
        <f t="shared" si="21"/>
        <v>1E-3</v>
      </c>
      <c r="AU55" s="247">
        <v>10.130000000000001</v>
      </c>
      <c r="AV55" s="253">
        <f t="shared" si="22"/>
        <v>1.0130000000000002E-2</v>
      </c>
      <c r="AW55" s="187" t="s">
        <v>484</v>
      </c>
      <c r="AX55" t="s">
        <v>698</v>
      </c>
      <c r="BA55">
        <v>617</v>
      </c>
      <c r="BB55" t="s">
        <v>216</v>
      </c>
      <c r="BC55" t="s">
        <v>671</v>
      </c>
      <c r="BD55" t="s">
        <v>681</v>
      </c>
      <c r="BE55" s="246">
        <v>39889.655555555553</v>
      </c>
      <c r="BF55" s="246">
        <v>39889.701388888891</v>
      </c>
      <c r="BG55">
        <v>1E-3</v>
      </c>
      <c r="BH55">
        <v>7.1372925688228213E-4</v>
      </c>
      <c r="BI55">
        <v>1E-3</v>
      </c>
      <c r="BJ55" s="49">
        <f t="shared" si="24"/>
        <v>1.0130000000000002E-2</v>
      </c>
      <c r="BK55">
        <v>384</v>
      </c>
      <c r="BL55">
        <v>374</v>
      </c>
      <c r="BM55">
        <v>9.23</v>
      </c>
      <c r="BN55" s="172">
        <v>763859</v>
      </c>
      <c r="BO55" s="172" t="s">
        <v>672</v>
      </c>
      <c r="BP55">
        <v>68</v>
      </c>
      <c r="BQ55">
        <v>29.92</v>
      </c>
      <c r="BT55">
        <v>4.0999999999999996</v>
      </c>
      <c r="BU55">
        <v>13.3</v>
      </c>
      <c r="BV55">
        <v>300</v>
      </c>
      <c r="BW55">
        <v>29.97</v>
      </c>
      <c r="BY55" t="s">
        <v>673</v>
      </c>
      <c r="BZ55" t="s">
        <v>674</v>
      </c>
      <c r="CA55" t="s">
        <v>675</v>
      </c>
      <c r="CB55">
        <v>384</v>
      </c>
      <c r="CC55">
        <v>188100</v>
      </c>
      <c r="CD55">
        <v>0.08</v>
      </c>
      <c r="CE55">
        <v>18408</v>
      </c>
      <c r="CF55">
        <v>0.96</v>
      </c>
      <c r="CZ55" s="53"/>
    </row>
    <row r="56" spans="2:116">
      <c r="B56" s="241"/>
      <c r="C56" s="241"/>
      <c r="D56" s="241"/>
      <c r="E56" s="247"/>
      <c r="F56" s="241"/>
      <c r="G56" s="241"/>
      <c r="H56" s="241"/>
      <c r="I56" s="241"/>
      <c r="J56" s="248"/>
      <c r="K56" s="241"/>
      <c r="L56" s="241"/>
      <c r="M56" s="241"/>
      <c r="N56" s="241"/>
      <c r="O56" s="241"/>
      <c r="P56" s="241"/>
      <c r="Q56" s="241"/>
      <c r="R56" s="241"/>
      <c r="S56" s="249"/>
      <c r="T56" s="241"/>
      <c r="U56" s="241"/>
      <c r="V56" s="241"/>
      <c r="W56" s="241"/>
      <c r="X56" s="241"/>
      <c r="Y56" s="241"/>
      <c r="Z56" s="241"/>
      <c r="AA56" s="241"/>
      <c r="AB56" s="241"/>
      <c r="AC56" s="241"/>
      <c r="AD56" s="250"/>
      <c r="AE56" s="247"/>
      <c r="AF56" s="251"/>
      <c r="AG56" s="241"/>
      <c r="AH56" s="241"/>
      <c r="AI56" s="251"/>
      <c r="AJ56" s="241"/>
      <c r="AK56" s="241"/>
      <c r="AL56" s="241"/>
      <c r="AM56" s="241"/>
      <c r="AN56" s="241"/>
      <c r="AO56" s="241"/>
      <c r="AP56" s="252"/>
      <c r="AQ56" s="241"/>
      <c r="AR56" s="241"/>
      <c r="AS56" s="241"/>
      <c r="AT56" s="252"/>
      <c r="AU56" s="247"/>
      <c r="AV56" s="253"/>
    </row>
    <row r="60" spans="2:116" ht="30">
      <c r="BA60" s="254" t="s">
        <v>699</v>
      </c>
      <c r="BB60" s="255" t="s">
        <v>700</v>
      </c>
      <c r="BC60" s="255" t="s">
        <v>701</v>
      </c>
      <c r="BD60" s="255" t="s">
        <v>702</v>
      </c>
      <c r="BE60" s="255" t="s">
        <v>703</v>
      </c>
      <c r="BF60" s="255" t="s">
        <v>704</v>
      </c>
      <c r="BG60" s="255" t="s">
        <v>705</v>
      </c>
      <c r="BH60" s="255" t="s">
        <v>706</v>
      </c>
      <c r="BI60" s="255" t="s">
        <v>488</v>
      </c>
      <c r="BJ60" s="255" t="s">
        <v>491</v>
      </c>
      <c r="BK60" s="255" t="s">
        <v>707</v>
      </c>
      <c r="BL60" s="255" t="s">
        <v>708</v>
      </c>
      <c r="BM60" s="255" t="s">
        <v>709</v>
      </c>
      <c r="BN60" s="255" t="s">
        <v>710</v>
      </c>
      <c r="BP60" s="256" t="s">
        <v>699</v>
      </c>
      <c r="BQ60" s="256" t="s">
        <v>700</v>
      </c>
      <c r="BR60" s="256" t="s">
        <v>703</v>
      </c>
      <c r="BS60" s="256" t="s">
        <v>701</v>
      </c>
      <c r="BT60" s="256" t="s">
        <v>711</v>
      </c>
      <c r="BU60" s="256" t="s">
        <v>712</v>
      </c>
      <c r="BV60" s="256" t="s">
        <v>713</v>
      </c>
      <c r="BW60" s="256" t="s">
        <v>714</v>
      </c>
      <c r="BX60" s="256" t="s">
        <v>715</v>
      </c>
      <c r="BY60" s="256" t="s">
        <v>716</v>
      </c>
      <c r="BZ60" s="256" t="s">
        <v>717</v>
      </c>
      <c r="CA60" s="256" t="s">
        <v>718</v>
      </c>
      <c r="CB60" s="256" t="s">
        <v>496</v>
      </c>
      <c r="CC60" s="256" t="s">
        <v>719</v>
      </c>
      <c r="CD60" s="256" t="s">
        <v>720</v>
      </c>
      <c r="CE60" s="256" t="s">
        <v>721</v>
      </c>
      <c r="CF60" s="256" t="s">
        <v>722</v>
      </c>
      <c r="CG60" s="256" t="s">
        <v>723</v>
      </c>
      <c r="CH60" s="256" t="s">
        <v>724</v>
      </c>
      <c r="CI60" s="256" t="s">
        <v>725</v>
      </c>
      <c r="CJ60" s="256" t="s">
        <v>726</v>
      </c>
      <c r="CK60" s="256" t="s">
        <v>727</v>
      </c>
      <c r="CL60" s="257" t="s">
        <v>728</v>
      </c>
      <c r="CM60" s="257" t="s">
        <v>729</v>
      </c>
      <c r="CN60" s="256" t="s">
        <v>730</v>
      </c>
      <c r="CO60" s="256" t="s">
        <v>731</v>
      </c>
      <c r="CP60" s="256" t="s">
        <v>732</v>
      </c>
      <c r="CQ60" s="256" t="s">
        <v>733</v>
      </c>
      <c r="CR60" s="256" t="s">
        <v>734</v>
      </c>
      <c r="CS60" s="256" t="s">
        <v>735</v>
      </c>
      <c r="CT60" s="256" t="s">
        <v>736</v>
      </c>
      <c r="CU60" s="256" t="s">
        <v>737</v>
      </c>
      <c r="CV60" s="256" t="s">
        <v>738</v>
      </c>
      <c r="CW60" s="256" t="s">
        <v>739</v>
      </c>
      <c r="CX60" s="256" t="s">
        <v>740</v>
      </c>
      <c r="CY60" s="256" t="s">
        <v>741</v>
      </c>
      <c r="CZ60" s="256" t="s">
        <v>742</v>
      </c>
      <c r="DA60" s="256" t="s">
        <v>743</v>
      </c>
      <c r="DB60" s="256" t="s">
        <v>744</v>
      </c>
      <c r="DC60" s="256" t="s">
        <v>745</v>
      </c>
      <c r="DD60" s="256" t="s">
        <v>746</v>
      </c>
      <c r="DE60" s="257" t="s">
        <v>562</v>
      </c>
      <c r="DF60" s="257" t="s">
        <v>564</v>
      </c>
      <c r="DG60" s="256" t="s">
        <v>563</v>
      </c>
      <c r="DH60" s="257" t="s">
        <v>747</v>
      </c>
      <c r="DI60" s="256" t="s">
        <v>748</v>
      </c>
      <c r="DL60" t="s">
        <v>902</v>
      </c>
    </row>
    <row r="61" spans="2:116" ht="30">
      <c r="B61" t="s">
        <v>217</v>
      </c>
      <c r="C61" t="s">
        <v>489</v>
      </c>
      <c r="D61" t="s">
        <v>686</v>
      </c>
      <c r="E61" s="247" t="s">
        <v>749</v>
      </c>
      <c r="F61" s="241" t="s">
        <v>212</v>
      </c>
      <c r="G61" s="241">
        <v>617</v>
      </c>
      <c r="H61" s="241" t="s">
        <v>214</v>
      </c>
      <c r="I61" t="str">
        <f>DI61</f>
        <v>Oil, Residual</v>
      </c>
      <c r="J61" s="258">
        <v>1</v>
      </c>
      <c r="M61" t="s">
        <v>217</v>
      </c>
      <c r="N61" t="s">
        <v>475</v>
      </c>
      <c r="O61" t="str">
        <f>BC61</f>
        <v>Method 29</v>
      </c>
      <c r="P61" s="53">
        <f>BI61</f>
        <v>1.3117976285580868E-7</v>
      </c>
      <c r="Q61" t="str">
        <f>BI60</f>
        <v>lb/dscf</v>
      </c>
      <c r="R61" t="s">
        <v>750</v>
      </c>
      <c r="AI61" s="53">
        <f>BN61</f>
        <v>1.4997516804451209E-3</v>
      </c>
      <c r="AL61">
        <f>DE61</f>
        <v>9190</v>
      </c>
      <c r="AM61" s="241">
        <v>10320</v>
      </c>
      <c r="AN61" s="241">
        <v>1420</v>
      </c>
      <c r="AP61" s="53">
        <f>AI61</f>
        <v>1.4997516804451209E-3</v>
      </c>
      <c r="AT61" s="53">
        <f>AP61</f>
        <v>1.4997516804451209E-3</v>
      </c>
      <c r="AU61" s="247">
        <v>10.130000000000001</v>
      </c>
      <c r="AV61" s="253">
        <f t="shared" ref="AV61:AV66" si="26">AT61*AU61</f>
        <v>1.5192484522909076E-2</v>
      </c>
      <c r="AX61" t="str">
        <f>E61</f>
        <v>3_fPM_T6_R1</v>
      </c>
      <c r="BA61" s="259">
        <v>2285</v>
      </c>
      <c r="BB61" s="260" t="s">
        <v>751</v>
      </c>
      <c r="BC61" s="260" t="s">
        <v>752</v>
      </c>
      <c r="BD61" s="260" t="s">
        <v>753</v>
      </c>
      <c r="BE61" s="261">
        <v>40246</v>
      </c>
      <c r="BF61" s="260" t="s">
        <v>200</v>
      </c>
      <c r="BG61" s="259">
        <v>0</v>
      </c>
      <c r="BH61" s="259">
        <v>10.6</v>
      </c>
      <c r="BI61" s="262">
        <v>1.3117976285580868E-7</v>
      </c>
      <c r="BJ61" s="263"/>
      <c r="BK61" s="263"/>
      <c r="BL61" s="262">
        <v>2101613.8538830723</v>
      </c>
      <c r="BM61" s="262">
        <v>1738835.27196278</v>
      </c>
      <c r="BN61" s="262">
        <v>1.4997516804451209E-3</v>
      </c>
      <c r="BP61" s="264">
        <v>2285</v>
      </c>
      <c r="BQ61" s="265" t="s">
        <v>751</v>
      </c>
      <c r="BR61" s="266">
        <v>40246</v>
      </c>
      <c r="BS61" s="265" t="s">
        <v>752</v>
      </c>
      <c r="BT61" s="265" t="s">
        <v>753</v>
      </c>
      <c r="BU61" s="265" t="s">
        <v>754</v>
      </c>
      <c r="BV61" s="265" t="s">
        <v>755</v>
      </c>
      <c r="BW61" s="264">
        <v>24</v>
      </c>
      <c r="BX61" s="264">
        <v>240</v>
      </c>
      <c r="BY61" s="264">
        <v>0.25</v>
      </c>
      <c r="BZ61" s="264">
        <v>0.84</v>
      </c>
      <c r="CA61" s="264">
        <v>1.002</v>
      </c>
      <c r="CB61" s="264">
        <v>29.71</v>
      </c>
      <c r="CC61" s="265" t="s">
        <v>756</v>
      </c>
      <c r="CD61" s="265" t="s">
        <v>757</v>
      </c>
      <c r="CE61" s="265" t="s">
        <v>758</v>
      </c>
      <c r="CF61" s="267" t="s">
        <v>759</v>
      </c>
      <c r="CG61" s="264">
        <v>390.7</v>
      </c>
      <c r="CH61" s="265" t="s">
        <v>760</v>
      </c>
      <c r="CI61" s="265" t="s">
        <v>761</v>
      </c>
      <c r="CJ61" s="265" t="s">
        <v>762</v>
      </c>
      <c r="CK61" s="264">
        <v>0.90639999999999998</v>
      </c>
      <c r="CL61" s="268">
        <v>13.96</v>
      </c>
      <c r="CM61" s="268">
        <v>4.0999999999999996</v>
      </c>
      <c r="CN61" s="264">
        <v>81.94</v>
      </c>
      <c r="CO61" s="265" t="s">
        <v>763</v>
      </c>
      <c r="CP61" s="265" t="s">
        <v>764</v>
      </c>
      <c r="CQ61" s="265" t="s">
        <v>765</v>
      </c>
      <c r="CR61" s="264">
        <v>1</v>
      </c>
      <c r="CS61" s="265" t="s">
        <v>766</v>
      </c>
      <c r="CT61" s="265" t="s">
        <v>767</v>
      </c>
      <c r="CU61" s="265" t="s">
        <v>768</v>
      </c>
      <c r="CV61" s="265" t="s">
        <v>769</v>
      </c>
      <c r="CW61" s="264">
        <v>251</v>
      </c>
      <c r="CX61" s="264">
        <v>0</v>
      </c>
      <c r="CY61" s="264">
        <v>0</v>
      </c>
      <c r="CZ61" s="265" t="s">
        <v>770</v>
      </c>
      <c r="DA61" s="265" t="s">
        <v>771</v>
      </c>
      <c r="DB61" s="265" t="s">
        <v>772</v>
      </c>
      <c r="DC61" s="265" t="s">
        <v>773</v>
      </c>
      <c r="DD61" s="265" t="s">
        <v>774</v>
      </c>
      <c r="DE61" s="268">
        <v>9190</v>
      </c>
      <c r="DF61" s="268">
        <v>1420</v>
      </c>
      <c r="DG61" s="264">
        <v>10320</v>
      </c>
      <c r="DH61" s="269" t="s">
        <v>775</v>
      </c>
      <c r="DI61" s="265" t="s">
        <v>776</v>
      </c>
      <c r="DL61" s="53">
        <f>AVERAGE(AV61:AV67)</f>
        <v>2.2896482103237772E-2</v>
      </c>
    </row>
    <row r="62" spans="2:116" ht="30">
      <c r="B62" t="s">
        <v>217</v>
      </c>
      <c r="C62" t="s">
        <v>489</v>
      </c>
      <c r="D62" t="s">
        <v>686</v>
      </c>
      <c r="E62" s="247" t="s">
        <v>777</v>
      </c>
      <c r="F62" s="241" t="s">
        <v>212</v>
      </c>
      <c r="G62" s="241">
        <v>617</v>
      </c>
      <c r="H62" s="241" t="s">
        <v>214</v>
      </c>
      <c r="I62" t="str">
        <f t="shared" ref="I62:I63" si="27">DI62</f>
        <v>Oil, Residual</v>
      </c>
      <c r="J62" s="258">
        <v>1</v>
      </c>
      <c r="M62" t="s">
        <v>217</v>
      </c>
      <c r="N62" t="s">
        <v>475</v>
      </c>
      <c r="O62" t="str">
        <f t="shared" ref="O62:O66" si="28">BC62</f>
        <v>Method 29</v>
      </c>
      <c r="P62" s="53">
        <f t="shared" ref="P62:P66" si="29">BI62</f>
        <v>8.7424995019659078E-8</v>
      </c>
      <c r="Q62" t="str">
        <f>Q61</f>
        <v>lb/dscf</v>
      </c>
      <c r="R62" t="s">
        <v>750</v>
      </c>
      <c r="AI62" s="53">
        <f t="shared" ref="AI62:AI66" si="30">BN62</f>
        <v>1.0042946302883337E-3</v>
      </c>
      <c r="AL62">
        <f t="shared" ref="AL62:AL63" si="31">DE62</f>
        <v>9190</v>
      </c>
      <c r="AM62" s="241">
        <v>10320</v>
      </c>
      <c r="AN62" s="241">
        <v>1420</v>
      </c>
      <c r="AP62" s="53">
        <f t="shared" ref="AP62:AP66" si="32">AI62</f>
        <v>1.0042946302883337E-3</v>
      </c>
      <c r="AT62" s="53">
        <f t="shared" ref="AT62:AT66" si="33">AP62</f>
        <v>1.0042946302883337E-3</v>
      </c>
      <c r="AU62" s="247">
        <v>10.130000000000001</v>
      </c>
      <c r="AV62" s="253">
        <f t="shared" si="26"/>
        <v>1.017350460482082E-2</v>
      </c>
      <c r="AX62" t="str">
        <f t="shared" ref="AX62:AX66" si="34">E62</f>
        <v>3_fPM_T6_R2</v>
      </c>
      <c r="BA62" s="259">
        <v>2285</v>
      </c>
      <c r="BB62" s="260" t="s">
        <v>751</v>
      </c>
      <c r="BC62" s="260" t="s">
        <v>752</v>
      </c>
      <c r="BD62" s="260" t="s">
        <v>778</v>
      </c>
      <c r="BE62" s="261">
        <v>40247</v>
      </c>
      <c r="BF62" s="260" t="s">
        <v>200</v>
      </c>
      <c r="BG62" s="259">
        <v>0</v>
      </c>
      <c r="BH62" s="259">
        <v>7.1</v>
      </c>
      <c r="BI62" s="262">
        <v>8.7424995019659078E-8</v>
      </c>
      <c r="BJ62" s="263"/>
      <c r="BK62" s="263"/>
      <c r="BL62" s="262">
        <v>1400624.4310026085</v>
      </c>
      <c r="BM62" s="262">
        <v>1164394.7123765703</v>
      </c>
      <c r="BN62" s="262">
        <v>1.0042946302883337E-3</v>
      </c>
      <c r="BP62" s="264">
        <v>2285</v>
      </c>
      <c r="BQ62" s="265" t="s">
        <v>751</v>
      </c>
      <c r="BR62" s="266">
        <v>40247</v>
      </c>
      <c r="BS62" s="265" t="s">
        <v>752</v>
      </c>
      <c r="BT62" s="265" t="s">
        <v>778</v>
      </c>
      <c r="BU62" s="265" t="s">
        <v>779</v>
      </c>
      <c r="BV62" s="265" t="s">
        <v>780</v>
      </c>
      <c r="BW62" s="264">
        <v>24</v>
      </c>
      <c r="BX62" s="264">
        <v>240</v>
      </c>
      <c r="BY62" s="264">
        <v>0.25</v>
      </c>
      <c r="BZ62" s="264">
        <v>0.84</v>
      </c>
      <c r="CA62" s="264">
        <v>1.002</v>
      </c>
      <c r="CB62" s="264">
        <v>29.56</v>
      </c>
      <c r="CC62" s="265" t="s">
        <v>781</v>
      </c>
      <c r="CD62" s="265" t="s">
        <v>782</v>
      </c>
      <c r="CE62" s="265" t="s">
        <v>783</v>
      </c>
      <c r="CF62" s="267" t="s">
        <v>784</v>
      </c>
      <c r="CG62" s="264">
        <v>421.1</v>
      </c>
      <c r="CH62" s="265" t="s">
        <v>785</v>
      </c>
      <c r="CI62" s="265" t="s">
        <v>786</v>
      </c>
      <c r="CJ62" s="265" t="s">
        <v>762</v>
      </c>
      <c r="CK62" s="264">
        <v>0.90029999999999999</v>
      </c>
      <c r="CL62" s="268">
        <v>13.95</v>
      </c>
      <c r="CM62" s="268">
        <v>4.18</v>
      </c>
      <c r="CN62" s="264">
        <v>81.86999999999999</v>
      </c>
      <c r="CO62" s="265" t="s">
        <v>763</v>
      </c>
      <c r="CP62" s="265" t="s">
        <v>764</v>
      </c>
      <c r="CQ62" s="265" t="s">
        <v>787</v>
      </c>
      <c r="CR62" s="264">
        <v>1</v>
      </c>
      <c r="CS62" s="265" t="s">
        <v>788</v>
      </c>
      <c r="CT62" s="265" t="s">
        <v>789</v>
      </c>
      <c r="CU62" s="265" t="s">
        <v>790</v>
      </c>
      <c r="CV62" s="265" t="s">
        <v>791</v>
      </c>
      <c r="CW62" s="264">
        <v>251</v>
      </c>
      <c r="CX62" s="264">
        <v>0</v>
      </c>
      <c r="CY62" s="264">
        <v>0</v>
      </c>
      <c r="CZ62" s="265" t="s">
        <v>770</v>
      </c>
      <c r="DA62" s="265" t="s">
        <v>792</v>
      </c>
      <c r="DB62" s="265" t="s">
        <v>793</v>
      </c>
      <c r="DC62" s="265" t="s">
        <v>794</v>
      </c>
      <c r="DD62" s="265" t="s">
        <v>795</v>
      </c>
      <c r="DE62" s="268">
        <v>9190</v>
      </c>
      <c r="DF62" s="268">
        <v>1420</v>
      </c>
      <c r="DG62" s="264">
        <v>10320</v>
      </c>
      <c r="DH62" s="269" t="s">
        <v>796</v>
      </c>
      <c r="DI62" s="265" t="s">
        <v>776</v>
      </c>
    </row>
    <row r="63" spans="2:116" ht="30">
      <c r="B63" t="s">
        <v>217</v>
      </c>
      <c r="C63" t="s">
        <v>489</v>
      </c>
      <c r="D63" t="s">
        <v>686</v>
      </c>
      <c r="E63" s="247" t="s">
        <v>797</v>
      </c>
      <c r="F63" s="241" t="s">
        <v>212</v>
      </c>
      <c r="G63" s="241">
        <v>617</v>
      </c>
      <c r="H63" s="241" t="s">
        <v>214</v>
      </c>
      <c r="I63" t="str">
        <f t="shared" si="27"/>
        <v>Oil, Residual</v>
      </c>
      <c r="J63" s="258">
        <v>1</v>
      </c>
      <c r="M63" t="s">
        <v>217</v>
      </c>
      <c r="N63" t="s">
        <v>475</v>
      </c>
      <c r="O63" t="str">
        <f t="shared" si="28"/>
        <v>Method 29</v>
      </c>
      <c r="P63" s="53">
        <f t="shared" si="29"/>
        <v>1.0079563008206248E-7</v>
      </c>
      <c r="Q63" t="str">
        <f>Q62</f>
        <v>lb/dscf</v>
      </c>
      <c r="R63" t="s">
        <v>750</v>
      </c>
      <c r="AI63" s="53">
        <f t="shared" si="30"/>
        <v>1.1599710884057414E-3</v>
      </c>
      <c r="AL63">
        <f t="shared" si="31"/>
        <v>9190</v>
      </c>
      <c r="AM63" s="241">
        <v>10320</v>
      </c>
      <c r="AN63" s="241">
        <v>1420</v>
      </c>
      <c r="AP63" s="53">
        <f t="shared" si="32"/>
        <v>1.1599710884057414E-3</v>
      </c>
      <c r="AT63" s="53">
        <f t="shared" si="33"/>
        <v>1.1599710884057414E-3</v>
      </c>
      <c r="AU63" s="247">
        <v>10.130000000000001</v>
      </c>
      <c r="AV63" s="253">
        <f t="shared" si="26"/>
        <v>1.1750507125550161E-2</v>
      </c>
      <c r="AX63" t="str">
        <f t="shared" si="34"/>
        <v>3_fPM_T6_R3</v>
      </c>
      <c r="BA63" s="259">
        <v>2285</v>
      </c>
      <c r="BB63" s="260" t="s">
        <v>751</v>
      </c>
      <c r="BC63" s="260" t="s">
        <v>752</v>
      </c>
      <c r="BD63" s="260" t="s">
        <v>798</v>
      </c>
      <c r="BE63" s="261">
        <v>40248</v>
      </c>
      <c r="BF63" s="260" t="s">
        <v>200</v>
      </c>
      <c r="BG63" s="259">
        <v>0</v>
      </c>
      <c r="BH63" s="259">
        <v>8.1</v>
      </c>
      <c r="BI63" s="262">
        <v>1.0079563008206248E-7</v>
      </c>
      <c r="BJ63" s="263"/>
      <c r="BK63" s="263"/>
      <c r="BL63" s="262">
        <v>1614833.6296672595</v>
      </c>
      <c r="BM63" s="262">
        <v>1344888.4033777656</v>
      </c>
      <c r="BN63" s="262">
        <v>1.1599710884057414E-3</v>
      </c>
      <c r="BP63" s="264">
        <v>2285</v>
      </c>
      <c r="BQ63" s="265" t="s">
        <v>751</v>
      </c>
      <c r="BR63" s="266">
        <v>40248</v>
      </c>
      <c r="BS63" s="265" t="s">
        <v>752</v>
      </c>
      <c r="BT63" s="265" t="s">
        <v>798</v>
      </c>
      <c r="BU63" s="265" t="s">
        <v>799</v>
      </c>
      <c r="BV63" s="265" t="s">
        <v>800</v>
      </c>
      <c r="BW63" s="264">
        <v>24</v>
      </c>
      <c r="BX63" s="264">
        <v>240</v>
      </c>
      <c r="BY63" s="264">
        <v>0.25</v>
      </c>
      <c r="BZ63" s="264">
        <v>0.84</v>
      </c>
      <c r="CA63" s="264">
        <v>1.002</v>
      </c>
      <c r="CB63" s="264">
        <v>29.41</v>
      </c>
      <c r="CC63" s="265" t="s">
        <v>801</v>
      </c>
      <c r="CD63" s="265" t="s">
        <v>802</v>
      </c>
      <c r="CE63" s="265" t="s">
        <v>803</v>
      </c>
      <c r="CF63" s="267" t="s">
        <v>804</v>
      </c>
      <c r="CG63" s="264">
        <v>451.8</v>
      </c>
      <c r="CH63" s="265" t="s">
        <v>805</v>
      </c>
      <c r="CI63" s="265" t="s">
        <v>806</v>
      </c>
      <c r="CJ63" s="265" t="s">
        <v>762</v>
      </c>
      <c r="CK63" s="264">
        <v>0.89280000000000004</v>
      </c>
      <c r="CL63" s="268">
        <v>13.88</v>
      </c>
      <c r="CM63" s="268">
        <v>4.21</v>
      </c>
      <c r="CN63" s="264">
        <v>81.910000000000011</v>
      </c>
      <c r="CO63" s="265" t="s">
        <v>763</v>
      </c>
      <c r="CP63" s="265" t="s">
        <v>807</v>
      </c>
      <c r="CQ63" s="265" t="s">
        <v>808</v>
      </c>
      <c r="CR63" s="264">
        <v>1</v>
      </c>
      <c r="CS63" s="265" t="s">
        <v>809</v>
      </c>
      <c r="CT63" s="265" t="s">
        <v>810</v>
      </c>
      <c r="CU63" s="265" t="s">
        <v>811</v>
      </c>
      <c r="CV63" s="265" t="s">
        <v>812</v>
      </c>
      <c r="CW63" s="264">
        <v>251</v>
      </c>
      <c r="CX63" s="264">
        <v>0</v>
      </c>
      <c r="CY63" s="264">
        <v>0</v>
      </c>
      <c r="CZ63" s="265" t="s">
        <v>770</v>
      </c>
      <c r="DA63" s="265" t="s">
        <v>813</v>
      </c>
      <c r="DB63" s="265" t="s">
        <v>814</v>
      </c>
      <c r="DC63" s="265" t="s">
        <v>815</v>
      </c>
      <c r="DD63" s="265" t="s">
        <v>816</v>
      </c>
      <c r="DE63" s="268">
        <v>9190</v>
      </c>
      <c r="DF63" s="268">
        <v>1420</v>
      </c>
      <c r="DG63" s="264">
        <v>10320</v>
      </c>
      <c r="DH63" s="269" t="s">
        <v>817</v>
      </c>
      <c r="DI63" s="265" t="s">
        <v>776</v>
      </c>
    </row>
    <row r="64" spans="2:116" ht="30">
      <c r="B64" t="s">
        <v>217</v>
      </c>
      <c r="C64" t="s">
        <v>489</v>
      </c>
      <c r="D64" t="s">
        <v>686</v>
      </c>
      <c r="E64" s="247" t="s">
        <v>818</v>
      </c>
      <c r="F64" s="241" t="s">
        <v>212</v>
      </c>
      <c r="G64" s="241">
        <v>617</v>
      </c>
      <c r="H64" s="241" t="s">
        <v>214</v>
      </c>
      <c r="I64" t="str">
        <f>I63</f>
        <v>Oil, Residual</v>
      </c>
      <c r="J64" s="258">
        <v>1</v>
      </c>
      <c r="M64" t="s">
        <v>217</v>
      </c>
      <c r="N64" t="s">
        <v>475</v>
      </c>
      <c r="O64" t="str">
        <f t="shared" si="28"/>
        <v>OTM - 27/28</v>
      </c>
      <c r="P64" s="53">
        <f t="shared" si="29"/>
        <v>2.8792563253354541E-7</v>
      </c>
      <c r="Q64" t="str">
        <f>Q63</f>
        <v>lb/dscf</v>
      </c>
      <c r="R64" t="s">
        <v>750</v>
      </c>
      <c r="AI64" s="53">
        <f t="shared" si="30"/>
        <v>3.2917954860922981E-3</v>
      </c>
      <c r="AL64">
        <f>AL63</f>
        <v>9190</v>
      </c>
      <c r="AM64" s="241">
        <v>10320</v>
      </c>
      <c r="AN64" s="241">
        <v>1420</v>
      </c>
      <c r="AP64" s="53">
        <f t="shared" si="32"/>
        <v>3.2917954860922981E-3</v>
      </c>
      <c r="AT64" s="53">
        <f t="shared" si="33"/>
        <v>3.2917954860922981E-3</v>
      </c>
      <c r="AU64" s="247">
        <v>10.130000000000001</v>
      </c>
      <c r="AV64" s="253">
        <f t="shared" si="26"/>
        <v>3.3345888274114985E-2</v>
      </c>
      <c r="AX64" t="str">
        <f t="shared" si="34"/>
        <v>3_fPM_T6_R4</v>
      </c>
      <c r="BA64" s="259">
        <v>2285</v>
      </c>
      <c r="BB64" s="260" t="s">
        <v>819</v>
      </c>
      <c r="BC64" s="260" t="s">
        <v>820</v>
      </c>
      <c r="BD64" s="260" t="s">
        <v>821</v>
      </c>
      <c r="BE64" s="261">
        <v>40246</v>
      </c>
      <c r="BF64" s="260" t="s">
        <v>200</v>
      </c>
      <c r="BG64" s="259">
        <v>0</v>
      </c>
      <c r="BH64" s="259">
        <v>17.55</v>
      </c>
      <c r="BI64" s="262">
        <v>2.8792563253354541E-7</v>
      </c>
      <c r="BJ64" s="263"/>
      <c r="BK64" s="263"/>
      <c r="BL64" s="262">
        <v>4612818.9672493478</v>
      </c>
      <c r="BM64" s="262">
        <v>3816558.5502836867</v>
      </c>
      <c r="BN64" s="262">
        <v>3.2917954860922981E-3</v>
      </c>
    </row>
    <row r="65" spans="2:66" ht="30">
      <c r="B65" t="s">
        <v>217</v>
      </c>
      <c r="C65" t="s">
        <v>489</v>
      </c>
      <c r="D65" t="s">
        <v>686</v>
      </c>
      <c r="E65" s="247" t="s">
        <v>822</v>
      </c>
      <c r="F65" s="241" t="s">
        <v>212</v>
      </c>
      <c r="G65" s="241">
        <v>617</v>
      </c>
      <c r="H65" s="241" t="s">
        <v>214</v>
      </c>
      <c r="I65" t="str">
        <f>I64</f>
        <v>Oil, Residual</v>
      </c>
      <c r="J65" s="258">
        <v>1</v>
      </c>
      <c r="M65" t="s">
        <v>217</v>
      </c>
      <c r="N65" t="s">
        <v>475</v>
      </c>
      <c r="O65" t="str">
        <f t="shared" si="28"/>
        <v>OTM - 27/28</v>
      </c>
      <c r="P65" s="53">
        <f t="shared" si="29"/>
        <v>3.2473725781514563E-7</v>
      </c>
      <c r="Q65" t="str">
        <f>Q64</f>
        <v>lb/dscf</v>
      </c>
      <c r="R65" t="s">
        <v>750</v>
      </c>
      <c r="AI65" s="53">
        <f t="shared" si="30"/>
        <v>3.7304192491514855E-3</v>
      </c>
      <c r="AL65">
        <f>AL64</f>
        <v>9190</v>
      </c>
      <c r="AM65" s="241">
        <v>10320</v>
      </c>
      <c r="AN65" s="241">
        <v>1420</v>
      </c>
      <c r="AP65" s="53">
        <f t="shared" si="32"/>
        <v>3.7304192491514855E-3</v>
      </c>
      <c r="AT65" s="53">
        <f t="shared" si="33"/>
        <v>3.7304192491514855E-3</v>
      </c>
      <c r="AU65" s="247">
        <v>10.130000000000001</v>
      </c>
      <c r="AV65" s="253">
        <f t="shared" si="26"/>
        <v>3.7789146993904552E-2</v>
      </c>
      <c r="AX65" t="str">
        <f t="shared" si="34"/>
        <v>3_fPM_T6_R5</v>
      </c>
      <c r="BA65" s="259">
        <v>2285</v>
      </c>
      <c r="BB65" s="260" t="s">
        <v>819</v>
      </c>
      <c r="BC65" s="260" t="s">
        <v>820</v>
      </c>
      <c r="BD65" s="260" t="s">
        <v>823</v>
      </c>
      <c r="BE65" s="261">
        <v>40247</v>
      </c>
      <c r="BF65" s="260" t="s">
        <v>200</v>
      </c>
      <c r="BG65" s="259">
        <v>0</v>
      </c>
      <c r="BH65" s="259">
        <v>15.925000000000001</v>
      </c>
      <c r="BI65" s="262">
        <v>3.2473725781514563E-7</v>
      </c>
      <c r="BJ65" s="263"/>
      <c r="BK65" s="263"/>
      <c r="BL65" s="262">
        <v>5202573.2097600671</v>
      </c>
      <c r="BM65" s="262">
        <v>4325105.7186402474</v>
      </c>
      <c r="BN65" s="262">
        <v>3.7304192491514855E-3</v>
      </c>
    </row>
    <row r="66" spans="2:66" ht="30">
      <c r="B66" t="s">
        <v>217</v>
      </c>
      <c r="C66" t="s">
        <v>489</v>
      </c>
      <c r="D66" t="s">
        <v>686</v>
      </c>
      <c r="E66" s="247" t="s">
        <v>824</v>
      </c>
      <c r="F66" s="241" t="s">
        <v>212</v>
      </c>
      <c r="G66" s="241">
        <v>617</v>
      </c>
      <c r="H66" s="241" t="s">
        <v>214</v>
      </c>
      <c r="I66" t="str">
        <f>I65</f>
        <v>Oil, Residual</v>
      </c>
      <c r="J66" s="258">
        <v>1</v>
      </c>
      <c r="M66" t="s">
        <v>217</v>
      </c>
      <c r="N66" t="s">
        <v>475</v>
      </c>
      <c r="O66" t="str">
        <f t="shared" si="28"/>
        <v>OTM - 27/28</v>
      </c>
      <c r="P66" s="53">
        <f t="shared" si="29"/>
        <v>2.4985395805851308E-7</v>
      </c>
      <c r="Q66" t="str">
        <f>Q65</f>
        <v>lb/dscf</v>
      </c>
      <c r="R66" t="s">
        <v>750</v>
      </c>
      <c r="AI66" s="53">
        <f t="shared" si="30"/>
        <v>2.8753564756295188E-3</v>
      </c>
      <c r="AL66">
        <f>AL65</f>
        <v>9190</v>
      </c>
      <c r="AM66" s="241">
        <v>10320</v>
      </c>
      <c r="AN66" s="241">
        <v>1420</v>
      </c>
      <c r="AP66" s="53">
        <f t="shared" si="32"/>
        <v>2.8753564756295188E-3</v>
      </c>
      <c r="AT66" s="53">
        <f t="shared" si="33"/>
        <v>2.8753564756295188E-3</v>
      </c>
      <c r="AU66" s="247">
        <v>10.130000000000001</v>
      </c>
      <c r="AV66" s="253">
        <f t="shared" si="26"/>
        <v>2.9127361098127028E-2</v>
      </c>
      <c r="AX66" t="str">
        <f t="shared" si="34"/>
        <v>3_fPM_T6_R6</v>
      </c>
      <c r="BA66" s="259">
        <v>2285</v>
      </c>
      <c r="BB66" s="260" t="s">
        <v>819</v>
      </c>
      <c r="BC66" s="260" t="s">
        <v>820</v>
      </c>
      <c r="BD66" s="260" t="s">
        <v>825</v>
      </c>
      <c r="BE66" s="261">
        <v>40248</v>
      </c>
      <c r="BF66" s="260" t="s">
        <v>200</v>
      </c>
      <c r="BG66" s="259">
        <v>0</v>
      </c>
      <c r="BH66" s="259">
        <v>14.375</v>
      </c>
      <c r="BI66" s="262">
        <v>2.4985395805851308E-7</v>
      </c>
      <c r="BJ66" s="263"/>
      <c r="BK66" s="263"/>
      <c r="BL66" s="262">
        <v>4002877.6411226741</v>
      </c>
      <c r="BM66" s="262">
        <v>3333732.7268786798</v>
      </c>
      <c r="BN66" s="262">
        <v>2.8753564756295188E-3</v>
      </c>
    </row>
    <row r="92" spans="1:32">
      <c r="X92" s="76"/>
      <c r="Y92" s="76"/>
      <c r="AE92"/>
      <c r="AF92"/>
    </row>
    <row r="93" spans="1:32">
      <c r="A93" s="44" t="s">
        <v>826</v>
      </c>
      <c r="B93" s="44"/>
      <c r="C93" s="44"/>
      <c r="D93" s="44"/>
      <c r="E93" s="270"/>
      <c r="W93" s="76"/>
      <c r="X93" s="76"/>
      <c r="AE93"/>
      <c r="AF93"/>
    </row>
    <row r="94" spans="1:32">
      <c r="A94" s="44">
        <v>1</v>
      </c>
      <c r="B94" s="44"/>
      <c r="C94" s="44" t="s">
        <v>827</v>
      </c>
      <c r="D94" s="271">
        <v>1.66E-7</v>
      </c>
      <c r="E94" s="270" t="s">
        <v>500</v>
      </c>
      <c r="G94" s="53"/>
      <c r="H94" s="272"/>
      <c r="W94" s="76"/>
      <c r="X94" s="76"/>
      <c r="AE94"/>
      <c r="AF94"/>
    </row>
    <row r="95" spans="1:32">
      <c r="A95" s="44">
        <v>1</v>
      </c>
      <c r="B95" s="44"/>
      <c r="C95" s="44" t="s">
        <v>828</v>
      </c>
      <c r="D95" s="271">
        <f>D94*A100/A101</f>
        <v>5.1979300655635339E-7</v>
      </c>
      <c r="E95" s="270" t="s">
        <v>500</v>
      </c>
      <c r="G95" s="53"/>
      <c r="W95" s="76"/>
      <c r="X95" s="76"/>
      <c r="AE95"/>
      <c r="AF95"/>
    </row>
    <row r="96" spans="1:32">
      <c r="A96" s="273">
        <v>1000</v>
      </c>
      <c r="B96" s="273"/>
      <c r="C96" s="273" t="s">
        <v>829</v>
      </c>
      <c r="D96" s="273">
        <v>1</v>
      </c>
      <c r="E96" s="270" t="s">
        <v>830</v>
      </c>
      <c r="W96" s="76"/>
      <c r="X96" s="76"/>
      <c r="AE96"/>
      <c r="AF96"/>
    </row>
    <row r="97" spans="1:32">
      <c r="A97" s="273">
        <v>1000000</v>
      </c>
      <c r="B97" s="273"/>
      <c r="C97" s="273" t="s">
        <v>831</v>
      </c>
      <c r="D97" s="273">
        <v>1</v>
      </c>
      <c r="E97" s="270" t="s">
        <v>830</v>
      </c>
      <c r="W97" s="76"/>
      <c r="X97" s="76"/>
      <c r="AE97"/>
      <c r="AF97"/>
    </row>
    <row r="98" spans="1:32">
      <c r="A98" s="273">
        <v>454</v>
      </c>
      <c r="B98" s="273"/>
      <c r="C98" s="273" t="s">
        <v>832</v>
      </c>
      <c r="D98" s="273">
        <v>1</v>
      </c>
      <c r="E98" s="270" t="s">
        <v>833</v>
      </c>
      <c r="W98" s="76"/>
      <c r="X98" s="76"/>
      <c r="AE98"/>
      <c r="AF98"/>
    </row>
    <row r="99" spans="1:32">
      <c r="A99" s="274">
        <v>1</v>
      </c>
      <c r="B99" s="274"/>
      <c r="C99" s="274" t="s">
        <v>834</v>
      </c>
      <c r="D99" s="274">
        <v>35.314500000000002</v>
      </c>
      <c r="E99" s="275" t="s">
        <v>835</v>
      </c>
      <c r="W99" s="76"/>
      <c r="X99" s="76"/>
      <c r="AE99"/>
      <c r="AF99"/>
    </row>
    <row r="100" spans="1:32">
      <c r="A100" s="44">
        <v>200.59</v>
      </c>
      <c r="B100" s="44"/>
      <c r="C100" s="44" t="s">
        <v>836</v>
      </c>
      <c r="D100" s="271"/>
      <c r="E100" s="270"/>
      <c r="W100" s="76"/>
      <c r="X100" s="76"/>
      <c r="AE100"/>
      <c r="AF100"/>
    </row>
    <row r="101" spans="1:32">
      <c r="A101" s="44">
        <v>64.06</v>
      </c>
      <c r="B101" s="44"/>
      <c r="C101" s="44" t="s">
        <v>837</v>
      </c>
      <c r="D101" s="271"/>
      <c r="E101" s="270"/>
      <c r="W101" s="76"/>
      <c r="X101" s="76"/>
      <c r="AE101"/>
      <c r="AF101"/>
    </row>
    <row r="102" spans="1:32">
      <c r="W102" s="76"/>
      <c r="X102" s="76"/>
      <c r="AE102"/>
      <c r="AF102"/>
    </row>
    <row r="103" spans="1:32">
      <c r="A103" s="44" t="s">
        <v>838</v>
      </c>
      <c r="B103" s="44"/>
      <c r="C103" s="44" t="s">
        <v>562</v>
      </c>
      <c r="D103" s="44" t="s">
        <v>563</v>
      </c>
      <c r="E103" s="270" t="s">
        <v>564</v>
      </c>
      <c r="W103" s="76"/>
      <c r="X103" s="76"/>
      <c r="AE103"/>
      <c r="AF103"/>
    </row>
    <row r="104" spans="1:32">
      <c r="A104" s="44" t="s">
        <v>839</v>
      </c>
      <c r="B104" s="44"/>
      <c r="C104" s="44" t="s">
        <v>840</v>
      </c>
      <c r="D104" s="44" t="s">
        <v>841</v>
      </c>
      <c r="E104" s="270" t="s">
        <v>842</v>
      </c>
      <c r="W104" s="76"/>
      <c r="X104" s="76"/>
      <c r="AE104"/>
      <c r="AF104"/>
    </row>
    <row r="105" spans="1:32">
      <c r="A105" s="44" t="s">
        <v>843</v>
      </c>
      <c r="B105" s="44"/>
      <c r="C105" s="44"/>
      <c r="D105" s="44"/>
      <c r="E105" s="270"/>
      <c r="W105" s="76"/>
      <c r="X105" s="76"/>
      <c r="AE105"/>
      <c r="AF105"/>
    </row>
    <row r="106" spans="1:32">
      <c r="A106" s="276" t="s">
        <v>474</v>
      </c>
      <c r="B106" s="276"/>
      <c r="C106" s="44">
        <v>10100</v>
      </c>
      <c r="D106" s="44">
        <v>10540</v>
      </c>
      <c r="E106" s="270">
        <v>1970</v>
      </c>
      <c r="W106" s="76"/>
      <c r="X106" s="76"/>
      <c r="AE106"/>
      <c r="AF106"/>
    </row>
    <row r="107" spans="1:32">
      <c r="A107" s="276" t="s">
        <v>485</v>
      </c>
      <c r="B107" s="276"/>
      <c r="C107" s="44">
        <v>9780</v>
      </c>
      <c r="D107" s="44">
        <v>10640</v>
      </c>
      <c r="E107" s="270">
        <v>1800</v>
      </c>
      <c r="W107" s="76"/>
      <c r="X107" s="76"/>
      <c r="AE107"/>
      <c r="AF107"/>
    </row>
    <row r="108" spans="1:32">
      <c r="A108" s="276" t="s">
        <v>495</v>
      </c>
      <c r="B108" s="276"/>
      <c r="C108" s="44">
        <v>9860</v>
      </c>
      <c r="D108" s="44">
        <v>11950</v>
      </c>
      <c r="E108" s="270">
        <v>1910</v>
      </c>
      <c r="W108" s="76"/>
      <c r="X108" s="76"/>
      <c r="AE108"/>
      <c r="AF108"/>
    </row>
    <row r="109" spans="1:32">
      <c r="A109" s="44" t="s">
        <v>503</v>
      </c>
      <c r="B109" s="44"/>
      <c r="C109" s="44">
        <v>9190</v>
      </c>
      <c r="D109" s="44">
        <v>10320</v>
      </c>
      <c r="E109" s="270">
        <v>1420</v>
      </c>
      <c r="W109" s="76"/>
      <c r="X109" s="76"/>
      <c r="AE109"/>
      <c r="AF109"/>
    </row>
    <row r="110" spans="1:32">
      <c r="A110" s="277" t="s">
        <v>515</v>
      </c>
      <c r="B110" s="277"/>
      <c r="C110" s="278">
        <v>9820</v>
      </c>
      <c r="D110" s="44"/>
      <c r="E110" s="275">
        <v>1840</v>
      </c>
      <c r="W110" s="76"/>
      <c r="X110" s="76"/>
      <c r="AE110"/>
      <c r="AF110"/>
    </row>
    <row r="111" spans="1:32">
      <c r="A111" s="279" t="s">
        <v>844</v>
      </c>
      <c r="B111" s="279"/>
      <c r="C111" s="278">
        <v>9830</v>
      </c>
      <c r="D111" s="44"/>
      <c r="E111" s="275">
        <v>1850</v>
      </c>
      <c r="F111" s="190"/>
      <c r="X111" s="76"/>
      <c r="Y111" s="76"/>
      <c r="AE111"/>
      <c r="AF111"/>
    </row>
    <row r="113" spans="1:49">
      <c r="A113" t="s">
        <v>845</v>
      </c>
    </row>
    <row r="114" spans="1:49">
      <c r="AD114" t="s">
        <v>846</v>
      </c>
      <c r="AM114" t="s">
        <v>526</v>
      </c>
      <c r="AU114" t="s">
        <v>527</v>
      </c>
      <c r="AW114" t="s">
        <v>527</v>
      </c>
    </row>
    <row r="197" spans="1:47">
      <c r="A197" s="280">
        <v>1</v>
      </c>
      <c r="B197" s="280">
        <v>2</v>
      </c>
      <c r="C197" s="280">
        <v>3</v>
      </c>
      <c r="D197" s="280">
        <v>4</v>
      </c>
      <c r="E197" s="280">
        <v>5</v>
      </c>
      <c r="F197" s="280">
        <v>6</v>
      </c>
      <c r="G197" s="280">
        <v>7</v>
      </c>
      <c r="H197" s="280">
        <v>8</v>
      </c>
      <c r="I197" s="280">
        <v>9</v>
      </c>
      <c r="J197" s="280">
        <v>10</v>
      </c>
      <c r="K197" s="280">
        <v>11</v>
      </c>
      <c r="L197" s="280">
        <v>12</v>
      </c>
      <c r="M197" s="280">
        <v>13</v>
      </c>
      <c r="N197" s="280">
        <v>14</v>
      </c>
      <c r="O197" s="280">
        <v>15</v>
      </c>
      <c r="P197" s="280">
        <v>16</v>
      </c>
      <c r="Q197" s="280">
        <v>17</v>
      </c>
      <c r="R197" s="280">
        <v>18</v>
      </c>
      <c r="S197" s="280">
        <v>19</v>
      </c>
      <c r="T197" s="280">
        <v>20</v>
      </c>
      <c r="U197" s="280">
        <v>21</v>
      </c>
      <c r="V197" s="280">
        <v>22</v>
      </c>
      <c r="W197" s="280">
        <v>23</v>
      </c>
      <c r="X197" s="280">
        <v>24</v>
      </c>
      <c r="Y197" s="280">
        <v>25</v>
      </c>
      <c r="Z197" s="280">
        <v>26</v>
      </c>
      <c r="AA197" s="280">
        <v>27</v>
      </c>
      <c r="AB197" s="280">
        <v>28</v>
      </c>
      <c r="AC197" s="280">
        <v>29</v>
      </c>
      <c r="AD197" s="280">
        <v>30</v>
      </c>
      <c r="AE197" s="280">
        <v>31</v>
      </c>
      <c r="AF197" s="280">
        <v>32</v>
      </c>
      <c r="AG197" s="280">
        <v>33</v>
      </c>
      <c r="AH197" s="280">
        <v>34</v>
      </c>
      <c r="AI197" s="280">
        <v>35</v>
      </c>
      <c r="AJ197" s="280">
        <v>36</v>
      </c>
      <c r="AK197" s="280">
        <v>37</v>
      </c>
      <c r="AL197" s="280">
        <v>38</v>
      </c>
      <c r="AM197" s="280">
        <v>39</v>
      </c>
      <c r="AN197" s="280">
        <v>40</v>
      </c>
      <c r="AO197" s="280">
        <v>41</v>
      </c>
      <c r="AP197" s="280">
        <v>42</v>
      </c>
      <c r="AQ197" s="280">
        <v>43</v>
      </c>
      <c r="AR197" s="280">
        <v>44</v>
      </c>
      <c r="AS197" s="280">
        <v>45</v>
      </c>
      <c r="AT197" s="280">
        <v>46</v>
      </c>
      <c r="AU197" s="280">
        <v>47</v>
      </c>
    </row>
    <row r="198" spans="1:47">
      <c r="E198"/>
      <c r="AC198" s="76"/>
      <c r="AD198" s="76"/>
      <c r="AE198"/>
      <c r="AF198"/>
    </row>
    <row r="199" spans="1:47">
      <c r="B199" s="281" t="s">
        <v>847</v>
      </c>
      <c r="C199" s="92">
        <v>44</v>
      </c>
      <c r="D199" s="92">
        <v>44</v>
      </c>
      <c r="E199" s="92">
        <v>44</v>
      </c>
      <c r="F199" s="92">
        <v>44</v>
      </c>
      <c r="G199" s="92">
        <v>44</v>
      </c>
      <c r="H199" s="92">
        <v>44</v>
      </c>
      <c r="I199" s="92">
        <v>44</v>
      </c>
      <c r="J199" s="92">
        <v>44</v>
      </c>
      <c r="K199" s="92">
        <v>44</v>
      </c>
      <c r="L199" s="92">
        <v>44</v>
      </c>
      <c r="AC199" s="76"/>
      <c r="AD199" s="76"/>
      <c r="AE199"/>
      <c r="AF199"/>
    </row>
    <row r="200" spans="1:47">
      <c r="A200" t="s">
        <v>848</v>
      </c>
      <c r="B200" s="270" t="s">
        <v>849</v>
      </c>
      <c r="C200" s="191" t="s">
        <v>850</v>
      </c>
      <c r="D200" s="191" t="s">
        <v>851</v>
      </c>
      <c r="E200" s="191" t="s">
        <v>852</v>
      </c>
      <c r="F200" s="191" t="s">
        <v>853</v>
      </c>
      <c r="G200" s="191" t="s">
        <v>854</v>
      </c>
      <c r="H200" s="191" t="s">
        <v>855</v>
      </c>
      <c r="I200" s="191" t="s">
        <v>856</v>
      </c>
      <c r="J200" s="191" t="s">
        <v>857</v>
      </c>
      <c r="K200" s="191" t="s">
        <v>858</v>
      </c>
      <c r="L200" s="191" t="s">
        <v>859</v>
      </c>
      <c r="M200" s="195"/>
      <c r="N200" s="195"/>
      <c r="O200" s="195"/>
      <c r="AE200"/>
      <c r="AF200"/>
    </row>
    <row r="201" spans="1:47">
      <c r="A201" s="39" t="s">
        <v>860</v>
      </c>
      <c r="B201" s="282" t="s">
        <v>463</v>
      </c>
      <c r="C201" s="92" t="s">
        <v>463</v>
      </c>
      <c r="D201" s="92" t="s">
        <v>463</v>
      </c>
      <c r="E201" s="92" t="s">
        <v>463</v>
      </c>
      <c r="F201" s="92" t="s">
        <v>463</v>
      </c>
      <c r="G201" s="92" t="s">
        <v>463</v>
      </c>
      <c r="H201" s="92" t="s">
        <v>463</v>
      </c>
      <c r="I201" s="92" t="s">
        <v>463</v>
      </c>
      <c r="J201" s="92" t="s">
        <v>463</v>
      </c>
      <c r="K201" s="92" t="s">
        <v>463</v>
      </c>
      <c r="L201" s="92" t="s">
        <v>463</v>
      </c>
      <c r="M201" s="39" t="s">
        <v>860</v>
      </c>
      <c r="AC201" s="76"/>
      <c r="AD201" s="76"/>
      <c r="AE201"/>
      <c r="AF201"/>
    </row>
    <row r="202" spans="1:47">
      <c r="A202" s="283" t="s">
        <v>861</v>
      </c>
      <c r="B202" s="284">
        <f>AVERAGE(C202:E202)</f>
        <v>9.9559726962457334E-3</v>
      </c>
      <c r="C202" s="285">
        <f>IFERROR(VLOOKUP($A202&amp;"_"&amp;C$200,$E:DE,C$199,FALSE),"")</f>
        <v>2.1196587030716724E-2</v>
      </c>
      <c r="D202" s="285">
        <f>IFERROR(VLOOKUP($A202&amp;"_"&amp;D$200,$E:AV,D$199,FALSE),"")</f>
        <v>3.8539249146757677E-3</v>
      </c>
      <c r="E202" s="285">
        <f>IFERROR(VLOOKUP($A202&amp;"_"&amp;E$200,$E$11:$AW$100,E$199,FALSE),"")</f>
        <v>4.81740614334471E-3</v>
      </c>
      <c r="F202" s="286"/>
      <c r="G202" s="286"/>
      <c r="H202" s="286"/>
      <c r="I202" s="286"/>
      <c r="J202" s="286"/>
      <c r="K202" s="286"/>
      <c r="L202" s="286"/>
      <c r="M202" s="286" t="str">
        <f>A202</f>
        <v>3_fPM_T4</v>
      </c>
      <c r="N202" t="s">
        <v>862</v>
      </c>
      <c r="AC202" s="76"/>
      <c r="AD202" s="76"/>
      <c r="AE202"/>
      <c r="AF202"/>
    </row>
    <row r="203" spans="1:47">
      <c r="A203" s="286" t="s">
        <v>863</v>
      </c>
      <c r="B203" s="287">
        <f>AVERAGE(C203:E203)</f>
        <v>3.5327645051194539E-2</v>
      </c>
      <c r="C203" s="285">
        <f>IFERROR(VLOOKUP($A203&amp;"_"&amp;C$200,$E:DE,C$199,FALSE),"")</f>
        <v>3.853924914675768E-2</v>
      </c>
      <c r="D203" s="285">
        <f>IFERROR(VLOOKUP($A203&amp;"_"&amp;D$200,$E:AV,D$199,FALSE),"")</f>
        <v>3.853924914675768E-2</v>
      </c>
      <c r="E203" s="285">
        <f>IFERROR(VLOOKUP($A203&amp;"_"&amp;E$200,$E$11:$AW$100,E$199,FALSE),"")</f>
        <v>2.8904436860068258E-2</v>
      </c>
      <c r="F203" s="288">
        <f>IFERROR(VLOOKUP($A203&amp;"_"&amp;F$200,$E:AX,F$199,FALSE),"")</f>
        <v>8.1040000000000015E-2</v>
      </c>
      <c r="G203" s="288">
        <f>IFERROR(VLOOKUP($A203&amp;"_"&amp;G$200,$E:AY,G$199,FALSE),"")</f>
        <v>8.1040000000000015E-2</v>
      </c>
      <c r="H203" s="288">
        <f>IFERROR(VLOOKUP($A203&amp;"_"&amp;H$200,$E:AZ,H$199,FALSE),"")</f>
        <v>6.0780000000000008E-2</v>
      </c>
      <c r="I203" s="288" t="str">
        <f>IFERROR(VLOOKUP($A203&amp;"_"&amp;I$200,$E:BA,I$199,FALSE),"")</f>
        <v/>
      </c>
      <c r="J203" s="288" t="str">
        <f>IFERROR(VLOOKUP($A203&amp;"_"&amp;J$200,$E:BB,J$199,FALSE),"")</f>
        <v/>
      </c>
      <c r="K203" s="288" t="str">
        <f>IFERROR(VLOOKUP($A203&amp;"_"&amp;K$200,$E:BC,K$199,FALSE),"")</f>
        <v/>
      </c>
      <c r="L203" s="286"/>
      <c r="M203" s="286" t="str">
        <f>A203</f>
        <v>3_fPM_T3</v>
      </c>
      <c r="N203" t="s">
        <v>864</v>
      </c>
      <c r="AC203" s="76"/>
      <c r="AD203" s="76"/>
      <c r="AE203"/>
      <c r="AF203"/>
    </row>
    <row r="204" spans="1:47">
      <c r="A204" s="289" t="s">
        <v>865</v>
      </c>
      <c r="B204" s="290">
        <f>AVERAGE(C204:E204)</f>
        <v>4.1750853242320814E-2</v>
      </c>
      <c r="C204" s="291">
        <f>IFERROR(VLOOKUP($A204&amp;"_"&amp;C$200,$E:DE,C$199,FALSE),"")</f>
        <v>3.853924914675768E-2</v>
      </c>
      <c r="D204" s="291">
        <f>IFERROR(VLOOKUP($A204&amp;"_"&amp;D$200,$E:AV,D$199,FALSE),"")</f>
        <v>3.853924914675768E-2</v>
      </c>
      <c r="E204" s="291">
        <f>IFERROR(VLOOKUP($A204&amp;"_"&amp;E$200,$E$11:$AW$100,E$199,FALSE),"")</f>
        <v>4.8174061433447095E-2</v>
      </c>
      <c r="F204" s="292">
        <f>IFERROR(VLOOKUP($A204&amp;"_"&amp;F$200,$E:AX,F$199,FALSE),"")</f>
        <v>0.22286</v>
      </c>
      <c r="G204" s="292">
        <f>IFERROR(VLOOKUP($A204&amp;"_"&amp;G$200,$E:AY,G$199,FALSE),"")</f>
        <v>0.31403000000000003</v>
      </c>
      <c r="H204" s="292">
        <f>IFERROR(VLOOKUP($A204&amp;"_"&amp;H$200,$E:AZ,H$199,FALSE),"")</f>
        <v>0.62806000000000006</v>
      </c>
      <c r="I204" s="292" t="str">
        <f>IFERROR(VLOOKUP($A204&amp;"_"&amp;I$200,$E:BA,I$199,FALSE),"")</f>
        <v/>
      </c>
      <c r="J204" s="292" t="str">
        <f>IFERROR(VLOOKUP($A204&amp;"_"&amp;J$200,$E:BB,J$199,FALSE),"")</f>
        <v/>
      </c>
      <c r="K204" s="292" t="str">
        <f>IFERROR(VLOOKUP($A204&amp;"_"&amp;K$200,$E:BC,K$199,FALSE),"")</f>
        <v/>
      </c>
      <c r="L204" s="289"/>
      <c r="M204" s="289" t="str">
        <f>A204</f>
        <v>3_fPM_T1</v>
      </c>
      <c r="AC204" s="76"/>
      <c r="AD204" s="76"/>
      <c r="AE204"/>
      <c r="AF204"/>
    </row>
    <row r="205" spans="1:47">
      <c r="A205" s="293" t="s">
        <v>866</v>
      </c>
      <c r="B205" s="290">
        <f>AVERAGE(C205:E205)</f>
        <v>8.0290102389078494E-2</v>
      </c>
      <c r="C205" s="291">
        <f>IFERROR(VLOOKUP($A205&amp;"_"&amp;C$200,$E:DE,C$199,FALSE),"")</f>
        <v>9.634812286689419E-2</v>
      </c>
      <c r="D205" s="291">
        <f>IFERROR(VLOOKUP($A205&amp;"_"&amp;D$200,$E:AV,D$199,FALSE),"")</f>
        <v>7.707849829351536E-2</v>
      </c>
      <c r="E205" s="291">
        <f>IFERROR(VLOOKUP($A205&amp;"_"&amp;E$200,$E$11:$AW$100,E$199,FALSE),"")</f>
        <v>6.7443686006825931E-2</v>
      </c>
      <c r="F205" s="292">
        <f>IFERROR(VLOOKUP($A205&amp;"_"&amp;F$200,$E:AX,F$199,FALSE),"")</f>
        <v>0.63819000000000004</v>
      </c>
      <c r="G205" s="292">
        <f>IFERROR(VLOOKUP($A205&amp;"_"&amp;G$200,$E:AY,G$199,FALSE),"")</f>
        <v>1.1143000000000001</v>
      </c>
      <c r="H205" s="292">
        <f>IFERROR(VLOOKUP($A205&amp;"_"&amp;H$200,$E:AZ,H$199,FALSE),"")</f>
        <v>0.63819000000000004</v>
      </c>
      <c r="I205" s="292" t="str">
        <f>IFERROR(VLOOKUP($A205&amp;"_"&amp;I$200,$E:BA,I$199,FALSE),"")</f>
        <v/>
      </c>
      <c r="J205" s="292" t="str">
        <f>IFERROR(VLOOKUP($A205&amp;"_"&amp;J$200,$E:BB,J$199,FALSE),"")</f>
        <v/>
      </c>
      <c r="K205" s="292" t="str">
        <f>IFERROR(VLOOKUP($A205&amp;"_"&amp;K$200,$E:BC,K$199,FALSE),"")</f>
        <v/>
      </c>
      <c r="L205" s="289"/>
      <c r="M205" s="289" t="str">
        <f>A205</f>
        <v>3_fPM_T2</v>
      </c>
    </row>
    <row r="206" spans="1:47">
      <c r="A206" s="294"/>
      <c r="B206" s="295"/>
    </row>
    <row r="207" spans="1:47">
      <c r="A207" s="191"/>
      <c r="B207" s="195"/>
    </row>
    <row r="208" spans="1:47">
      <c r="B208" s="281" t="s">
        <v>847</v>
      </c>
      <c r="C208" s="92">
        <v>13</v>
      </c>
      <c r="D208" s="92">
        <v>13</v>
      </c>
      <c r="E208" s="92">
        <v>13</v>
      </c>
      <c r="F208" s="92">
        <v>13</v>
      </c>
      <c r="G208" s="92">
        <v>13</v>
      </c>
      <c r="H208" s="92">
        <v>13</v>
      </c>
      <c r="I208" s="92">
        <v>13</v>
      </c>
      <c r="J208" s="92">
        <v>13</v>
      </c>
      <c r="K208" s="92">
        <v>13</v>
      </c>
      <c r="L208" s="92">
        <v>13</v>
      </c>
    </row>
    <row r="209" spans="1:14">
      <c r="A209" t="s">
        <v>867</v>
      </c>
      <c r="B209" s="270" t="s">
        <v>849</v>
      </c>
      <c r="C209" s="191" t="s">
        <v>850</v>
      </c>
      <c r="D209" s="191" t="s">
        <v>851</v>
      </c>
      <c r="E209" s="191" t="s">
        <v>852</v>
      </c>
      <c r="F209" s="191" t="s">
        <v>853</v>
      </c>
      <c r="G209" s="191" t="s">
        <v>854</v>
      </c>
      <c r="H209" s="191" t="s">
        <v>855</v>
      </c>
      <c r="I209" s="191" t="s">
        <v>856</v>
      </c>
      <c r="J209" s="191" t="s">
        <v>857</v>
      </c>
      <c r="K209" s="191" t="s">
        <v>858</v>
      </c>
      <c r="L209" s="191" t="s">
        <v>859</v>
      </c>
      <c r="M209" s="195"/>
    </row>
    <row r="210" spans="1:14">
      <c r="A210" s="39" t="s">
        <v>860</v>
      </c>
      <c r="B210" s="282" t="s">
        <v>868</v>
      </c>
      <c r="C210" s="92" t="s">
        <v>869</v>
      </c>
      <c r="D210" s="92" t="s">
        <v>869</v>
      </c>
      <c r="E210" s="92" t="s">
        <v>869</v>
      </c>
      <c r="F210" s="92" t="s">
        <v>869</v>
      </c>
      <c r="G210" s="92" t="s">
        <v>869</v>
      </c>
      <c r="H210" s="92" t="s">
        <v>869</v>
      </c>
      <c r="I210" s="92" t="s">
        <v>463</v>
      </c>
      <c r="J210" s="92" t="s">
        <v>463</v>
      </c>
      <c r="K210" s="92" t="s">
        <v>463</v>
      </c>
      <c r="L210" s="92" t="s">
        <v>463</v>
      </c>
      <c r="M210" s="39" t="s">
        <v>860</v>
      </c>
    </row>
    <row r="211" spans="1:14">
      <c r="A211" s="44" t="s">
        <v>870</v>
      </c>
      <c r="B211" s="296">
        <f t="shared" ref="B211:B216" si="35">AVERAGE(C211:H211)</f>
        <v>1.3506666666666669E-2</v>
      </c>
      <c r="C211" s="297">
        <f>IFERROR(VLOOKUP($A211&amp;"_"&amp;C$209,$AX$25:BX$177,C$208,FALSE),"")</f>
        <v>1.0130000000000002E-2</v>
      </c>
      <c r="D211" s="291">
        <f>IFERROR(VLOOKUP($A211&amp;"_"&amp;D$209,$AX$25:BY$177,D$208,FALSE),"")</f>
        <v>1.0130000000000002E-2</v>
      </c>
      <c r="E211" s="291">
        <f>IFERROR(VLOOKUP($A211&amp;"_"&amp;E$209,$AX$25:BZ$177,E$208,FALSE),"")</f>
        <v>2.0260000000000004E-2</v>
      </c>
      <c r="F211" s="291">
        <f>IFERROR(VLOOKUP($A211&amp;"_"&amp;F$209,$AX$25:CA$177,F$208,FALSE),"")</f>
        <v>1.0130000000000002E-2</v>
      </c>
      <c r="G211" s="291">
        <f>IFERROR(VLOOKUP($A211&amp;"_"&amp;G$209,$AX$25:CB$177,G$208,FALSE),"")</f>
        <v>2.0260000000000004E-2</v>
      </c>
      <c r="H211" s="291">
        <f>IFERROR(VLOOKUP($A211&amp;"_"&amp;H$209,$AX$25:CC$177,H$208,FALSE),"")</f>
        <v>1.0130000000000002E-2</v>
      </c>
      <c r="I211" s="298"/>
      <c r="J211" s="298"/>
      <c r="K211" s="298"/>
      <c r="L211" s="298"/>
      <c r="M211" s="289" t="str">
        <f t="shared" ref="M211:M216" si="36">A211</f>
        <v>3_fPM_T5</v>
      </c>
    </row>
    <row r="212" spans="1:14">
      <c r="A212" s="299" t="s">
        <v>871</v>
      </c>
      <c r="B212" s="296">
        <f t="shared" si="35"/>
        <v>2.2896482103237772E-2</v>
      </c>
      <c r="C212" s="296">
        <f>IFERROR(VLOOKUP($A212&amp;"_"&amp;C$209,$E$25:BX$177,44,FALSE),"")</f>
        <v>1.5192484522909076E-2</v>
      </c>
      <c r="D212" s="300">
        <f>IFERROR(VLOOKUP($A212&amp;"_"&amp;D$209,$E$25:BY$177,44,FALSE),"")</f>
        <v>1.017350460482082E-2</v>
      </c>
      <c r="E212" s="300">
        <f>IFERROR(VLOOKUP($A212&amp;"_"&amp;E$209,$E$25:BZ$177,44,FALSE),"")</f>
        <v>1.1750507125550161E-2</v>
      </c>
      <c r="F212" s="300">
        <f>IFERROR(VLOOKUP($A212&amp;"_"&amp;F$209,$E$25:CA$177,44,FALSE),"")</f>
        <v>3.3345888274114985E-2</v>
      </c>
      <c r="G212" s="300">
        <f>IFERROR(VLOOKUP($A212&amp;"_"&amp;G$209,$E$25:CB$177,44,FALSE),"")</f>
        <v>3.7789146993904552E-2</v>
      </c>
      <c r="H212" s="300">
        <f>IFERROR(VLOOKUP($A212&amp;"_"&amp;H$209,$E$25:CC$177,44,FALSE),"")</f>
        <v>2.9127361098127028E-2</v>
      </c>
      <c r="I212" s="292" t="str">
        <f>IFERROR(VLOOKUP($A212&amp;"_"&amp;I$200,$E:BA,I$199,FALSE),"")</f>
        <v/>
      </c>
      <c r="J212" s="292" t="str">
        <f>IFERROR(VLOOKUP($A212&amp;"_"&amp;J$200,$E:BB,J$199,FALSE),"")</f>
        <v/>
      </c>
      <c r="K212" s="292" t="str">
        <f>IFERROR(VLOOKUP($A212&amp;"_"&amp;K$200,$E:BC,K$199,FALSE),"")</f>
        <v/>
      </c>
      <c r="L212" s="289"/>
      <c r="M212" s="289" t="str">
        <f t="shared" si="36"/>
        <v>3_fPM_T6</v>
      </c>
    </row>
    <row r="213" spans="1:14">
      <c r="A213" s="44" t="s">
        <v>863</v>
      </c>
      <c r="B213" s="296">
        <f t="shared" si="35"/>
        <v>7.5975000000000001E-2</v>
      </c>
      <c r="C213" s="297">
        <f>IFERROR(VLOOKUP($A213&amp;"_"&amp;C$209,$AX$25:BX$177,C$208,FALSE),"")</f>
        <v>8.1040000000000015E-2</v>
      </c>
      <c r="D213" s="291">
        <f>IFERROR(VLOOKUP($A213&amp;"_"&amp;D$209,$AX$25:BY$177,D$208,FALSE),"")</f>
        <v>8.1040000000000015E-2</v>
      </c>
      <c r="E213" s="291">
        <f>IFERROR(VLOOKUP($A213&amp;"_"&amp;E$209,$AX$25:BZ$177,E$208,FALSE),"")</f>
        <v>7.0910000000000001E-2</v>
      </c>
      <c r="F213" s="291">
        <f>IFERROR(VLOOKUP($A213&amp;"_"&amp;F$209,$AX$25:CA$177,F$208,FALSE),"")</f>
        <v>8.1040000000000015E-2</v>
      </c>
      <c r="G213" s="291">
        <f>IFERROR(VLOOKUP($A213&amp;"_"&amp;G$209,$AX$25:CB$177,G$208,FALSE),"")</f>
        <v>8.1040000000000015E-2</v>
      </c>
      <c r="H213" s="291">
        <f>IFERROR(VLOOKUP($A213&amp;"_"&amp;H$209,$AX$25:CC$177,H$208,FALSE),"")</f>
        <v>6.0780000000000008E-2</v>
      </c>
      <c r="I213" s="292" t="str">
        <f>IFERROR(VLOOKUP($A213&amp;"_"&amp;I$200,$E:BA,I$199,FALSE),"")</f>
        <v/>
      </c>
      <c r="J213" s="292" t="str">
        <f>IFERROR(VLOOKUP($A213&amp;"_"&amp;J$200,$E:BB,J$199,FALSE),"")</f>
        <v/>
      </c>
      <c r="K213" s="292" t="str">
        <f>IFERROR(VLOOKUP($A213&amp;"_"&amp;K$200,$E:BC,K$199,FALSE),"")</f>
        <v/>
      </c>
      <c r="L213" s="289"/>
      <c r="M213" s="289" t="str">
        <f t="shared" si="36"/>
        <v>3_fPM_T3</v>
      </c>
    </row>
    <row r="214" spans="1:14">
      <c r="A214" s="44" t="s">
        <v>861</v>
      </c>
      <c r="B214" s="296">
        <f t="shared" si="35"/>
        <v>0.10805333333333333</v>
      </c>
      <c r="C214" s="297">
        <f>IFERROR(VLOOKUP($A214&amp;"_"&amp;C$209,$AX$25:BX$177,C$208,FALSE),"")</f>
        <v>8.1040000000000015E-2</v>
      </c>
      <c r="D214" s="291">
        <f>IFERROR(VLOOKUP($A214&amp;"_"&amp;D$209,$AX$25:BY$177,D$208,FALSE),"")</f>
        <v>0.11143</v>
      </c>
      <c r="E214" s="291">
        <f>IFERROR(VLOOKUP($A214&amp;"_"&amp;E$209,$AX$25:BZ$177,E$208,FALSE),"")</f>
        <v>0.12156000000000002</v>
      </c>
      <c r="F214" s="291">
        <f>IFERROR(VLOOKUP($A214&amp;"_"&amp;F$209,$AX$25:CA$177,F$208,FALSE),"")</f>
        <v>0.13169</v>
      </c>
      <c r="G214" s="291">
        <f>IFERROR(VLOOKUP($A214&amp;"_"&amp;G$209,$AX$25:CB$177,G$208,FALSE),"")</f>
        <v>0.11143</v>
      </c>
      <c r="H214" s="291">
        <f>IFERROR(VLOOKUP($A214&amp;"_"&amp;H$209,$AX$25:CC$177,H$208,FALSE),"")</f>
        <v>9.1170000000000001E-2</v>
      </c>
      <c r="I214" s="292" t="str">
        <f>IFERROR(VLOOKUP($A214&amp;"_"&amp;I$200,$E:BA,I$199,FALSE),"")</f>
        <v/>
      </c>
      <c r="J214" s="292" t="str">
        <f>IFERROR(VLOOKUP($A214&amp;"_"&amp;J$200,$E:BB,J$199,FALSE),"")</f>
        <v/>
      </c>
      <c r="K214" s="292" t="str">
        <f>IFERROR(VLOOKUP($A214&amp;"_"&amp;K$200,$E:BC,K$199,FALSE),"")</f>
        <v/>
      </c>
      <c r="L214" s="289"/>
      <c r="M214" s="289" t="str">
        <f t="shared" si="36"/>
        <v>3_fPM_T4</v>
      </c>
    </row>
    <row r="215" spans="1:14">
      <c r="A215" s="44" t="s">
        <v>865</v>
      </c>
      <c r="B215" s="301">
        <f t="shared" si="35"/>
        <v>0.35454999999999998</v>
      </c>
      <c r="C215" s="302">
        <f>IFERROR(VLOOKUP($A215&amp;"_"&amp;C$209,$AX$25:BX$177,C$208,FALSE),"")</f>
        <v>0.49637000000000003</v>
      </c>
      <c r="D215" s="285">
        <f>IFERROR(VLOOKUP($A215&amp;"_"&amp;D$209,$AX$25:BY$177,D$208,FALSE),"")</f>
        <v>0.25325000000000003</v>
      </c>
      <c r="E215" s="285">
        <f>IFERROR(VLOOKUP($A215&amp;"_"&amp;E$209,$AX$25:BZ$177,E$208,FALSE),"")</f>
        <v>0.21273000000000003</v>
      </c>
      <c r="F215" s="285">
        <f>IFERROR(VLOOKUP($A215&amp;"_"&amp;F$209,$AX$25:CA$177,F$208,FALSE),"")</f>
        <v>0.22286</v>
      </c>
      <c r="G215" s="285">
        <f>IFERROR(VLOOKUP($A215&amp;"_"&amp;G$209,$AX$25:CB$177,G$208,FALSE),"")</f>
        <v>0.31403000000000003</v>
      </c>
      <c r="H215" s="285">
        <f>IFERROR(VLOOKUP($A215&amp;"_"&amp;H$209,$AX$25:CC$177,H$208,FALSE),"")</f>
        <v>0.62806000000000006</v>
      </c>
      <c r="I215" s="286"/>
      <c r="J215" s="286"/>
      <c r="K215" s="286"/>
      <c r="L215" s="286"/>
      <c r="M215" s="286" t="str">
        <f t="shared" si="36"/>
        <v>3_fPM_T1</v>
      </c>
      <c r="N215" t="s">
        <v>872</v>
      </c>
    </row>
    <row r="216" spans="1:14">
      <c r="A216" s="44" t="s">
        <v>866</v>
      </c>
      <c r="B216" s="303">
        <f t="shared" si="35"/>
        <v>0.77832166666666669</v>
      </c>
      <c r="C216" s="302">
        <f>IFERROR(VLOOKUP($A216&amp;"_"&amp;C$209,$AX$25:BX$177,C$208,FALSE),"")</f>
        <v>0.94209000000000009</v>
      </c>
      <c r="D216" s="285">
        <f>IFERROR(VLOOKUP($A216&amp;"_"&amp;D$209,$AX$25:BY$177,D$208,FALSE),"")</f>
        <v>1.1041700000000001</v>
      </c>
      <c r="E216" s="285">
        <f>IFERROR(VLOOKUP($A216&amp;"_"&amp;E$209,$AX$25:BZ$177,E$208,FALSE),"")</f>
        <v>0.23299</v>
      </c>
      <c r="F216" s="285">
        <f>IFERROR(VLOOKUP($A216&amp;"_"&amp;F$209,$AX$25:CA$177,F$208,FALSE),"")</f>
        <v>0.63819000000000004</v>
      </c>
      <c r="G216" s="285">
        <f>IFERROR(VLOOKUP($A216&amp;"_"&amp;G$209,$AX$25:CB$177,G$208,FALSE),"")</f>
        <v>1.1143000000000001</v>
      </c>
      <c r="H216" s="285">
        <f>IFERROR(VLOOKUP($A216&amp;"_"&amp;H$209,$AX$25:CC$177,H$208,FALSE),"")</f>
        <v>0.63819000000000004</v>
      </c>
      <c r="I216" s="288" t="str">
        <f>IFERROR(VLOOKUP($A216&amp;"_"&amp;I$200,$E:BA,I$199,FALSE),"")</f>
        <v/>
      </c>
      <c r="J216" s="288" t="str">
        <f>IFERROR(VLOOKUP($A216&amp;"_"&amp;J$200,$E:BB,J$199,FALSE),"")</f>
        <v/>
      </c>
      <c r="K216" s="288" t="str">
        <f>IFERROR(VLOOKUP($A216&amp;"_"&amp;K$200,$E:BC,K$199,FALSE),"")</f>
        <v/>
      </c>
      <c r="L216" s="286"/>
      <c r="M216" s="286" t="str">
        <f t="shared" si="36"/>
        <v>3_fPM_T2</v>
      </c>
      <c r="N216" t="s">
        <v>872</v>
      </c>
    </row>
    <row r="297" spans="1:16">
      <c r="A297" t="s">
        <v>873</v>
      </c>
    </row>
    <row r="300" spans="1:16">
      <c r="A300" t="s">
        <v>874</v>
      </c>
      <c r="D300" s="304" t="s">
        <v>875</v>
      </c>
      <c r="G300" s="92" t="s">
        <v>876</v>
      </c>
      <c r="H300" s="304" t="s">
        <v>877</v>
      </c>
      <c r="J300" s="92" t="s">
        <v>878</v>
      </c>
      <c r="K300" s="304" t="s">
        <v>879</v>
      </c>
      <c r="M300" s="304" t="s">
        <v>880</v>
      </c>
    </row>
    <row r="301" spans="1:16" ht="92.25" customHeight="1">
      <c r="A301" s="112" t="s">
        <v>881</v>
      </c>
      <c r="B301" s="112"/>
      <c r="D301" s="483" t="s">
        <v>882</v>
      </c>
      <c r="E301" s="483"/>
      <c r="F301" s="483"/>
      <c r="H301" t="s">
        <v>883</v>
      </c>
      <c r="I301" t="s">
        <v>883</v>
      </c>
      <c r="K301" s="483" t="s">
        <v>884</v>
      </c>
      <c r="L301" s="483"/>
      <c r="M301" s="484" t="s">
        <v>885</v>
      </c>
      <c r="N301" s="485"/>
    </row>
    <row r="302" spans="1:16" ht="45.75" customHeight="1">
      <c r="K302" s="483" t="s">
        <v>886</v>
      </c>
      <c r="L302" s="483"/>
      <c r="M302" s="486" t="s">
        <v>887</v>
      </c>
      <c r="N302" s="487"/>
      <c r="O302" s="479">
        <v>6</v>
      </c>
      <c r="P302" s="480"/>
    </row>
    <row r="303" spans="1:16">
      <c r="O303" s="305" t="s">
        <v>888</v>
      </c>
    </row>
    <row r="304" spans="1:16">
      <c r="D304" s="306" t="s">
        <v>889</v>
      </c>
      <c r="O304" s="53">
        <f>ROUND((BN11-BM11)*24,0)*0.00000220462*0.028317*IF(AB11&lt;&gt;"",AB11,AL11)*20.9/IF(AD11&lt;&gt;"",(20.9-AD11),(20.9-$O$302))</f>
        <v>8.0151413874480896E-4</v>
      </c>
      <c r="P304" t="s">
        <v>890</v>
      </c>
    </row>
    <row r="305" spans="4:16" ht="15.75" thickBot="1">
      <c r="D305" s="307">
        <f>IF(BN11&lt;&gt;"",ROUND((BN11-BM11)*24,0),1)</f>
        <v>1</v>
      </c>
      <c r="E305" s="308" t="s">
        <v>891</v>
      </c>
      <c r="F305" s="309">
        <v>2.2046200000000002E-6</v>
      </c>
      <c r="G305" s="310" t="s">
        <v>892</v>
      </c>
      <c r="H305" s="311">
        <v>2.8316999999999998E-2</v>
      </c>
      <c r="I305" s="308" t="s">
        <v>893</v>
      </c>
      <c r="J305" s="311">
        <f>IF(AB11&lt;&gt;"",AB11,AL11)</f>
        <v>9190</v>
      </c>
      <c r="K305" s="308" t="s">
        <v>894</v>
      </c>
      <c r="L305" s="312"/>
      <c r="M305" s="313">
        <v>20.9</v>
      </c>
      <c r="N305" s="314" t="s">
        <v>895</v>
      </c>
      <c r="O305" s="53">
        <f>D305*F305*H305*J305*M305/M306</f>
        <v>8.0151413874480896E-4</v>
      </c>
      <c r="P305" t="str">
        <f>G305</f>
        <v>lb fPM</v>
      </c>
    </row>
    <row r="306" spans="4:16">
      <c r="D306" s="315"/>
      <c r="E306" s="316" t="s">
        <v>893</v>
      </c>
      <c r="F306" s="315"/>
      <c r="G306" s="316" t="s">
        <v>896</v>
      </c>
      <c r="H306" s="315"/>
      <c r="I306" s="316" t="s">
        <v>894</v>
      </c>
      <c r="J306" s="315"/>
      <c r="K306" s="317" t="s">
        <v>897</v>
      </c>
      <c r="L306" s="315"/>
      <c r="M306" s="318">
        <f>IF(AD11&lt;&gt;"",(20.9-AD11),(20.9-$O$302))</f>
        <v>14.959999999999997</v>
      </c>
      <c r="N306" s="319" t="s">
        <v>895</v>
      </c>
      <c r="P306" s="295" t="str">
        <f>K306</f>
        <v>MMBtu</v>
      </c>
    </row>
    <row r="310" spans="4:16">
      <c r="H310" s="53"/>
    </row>
  </sheetData>
  <mergeCells count="12">
    <mergeCell ref="AC9:AK9"/>
    <mergeCell ref="AL9:AS9"/>
    <mergeCell ref="O302:P302"/>
    <mergeCell ref="A9:E9"/>
    <mergeCell ref="G9:Q9"/>
    <mergeCell ref="S9:T9"/>
    <mergeCell ref="U9:AA9"/>
    <mergeCell ref="D301:F301"/>
    <mergeCell ref="K301:L301"/>
    <mergeCell ref="M301:N301"/>
    <mergeCell ref="K302:L302"/>
    <mergeCell ref="M302:N302"/>
  </mergeCells>
  <dataValidations count="11">
    <dataValidation type="list" allowBlank="1" showInputMessage="1" showErrorMessage="1" sqref="T11:T22">
      <formula1>$T$1:$T$8</formula1>
    </dataValidation>
    <dataValidation type="list" allowBlank="1" showInputMessage="1" showErrorMessage="1" sqref="O11:O22">
      <formula1>$O$1:$O$8</formula1>
    </dataValidation>
    <dataValidation type="list" allowBlank="1" showInputMessage="1" showErrorMessage="1" sqref="R11:R22">
      <formula1>$R$1:$R$8</formula1>
    </dataValidation>
    <dataValidation type="list" allowBlank="1" showInputMessage="1" showErrorMessage="1" sqref="I11:I22">
      <formula1>$I$1:$I$9</formula1>
    </dataValidation>
    <dataValidation type="list" allowBlank="1" showInputMessage="1" showErrorMessage="1" sqref="N11:N22">
      <formula1>$N$1:$N$8</formula1>
    </dataValidation>
    <dataValidation type="list" allowBlank="1" showInputMessage="1" showErrorMessage="1" sqref="Q11:Q18">
      <formula1>$Q$1:$Q$8</formula1>
    </dataValidation>
    <dataValidation type="list" allowBlank="1" showInputMessage="1" showErrorMessage="1" sqref="V11:V18">
      <formula1>$V$1:$V$8</formula1>
    </dataValidation>
    <dataValidation type="list" allowBlank="1" showInputMessage="1" showErrorMessage="1" sqref="AA11:AB18">
      <formula1>$AA$1:$AA$8</formula1>
    </dataValidation>
    <dataValidation type="list" allowBlank="1" showInputMessage="1" showErrorMessage="1" sqref="AG11:AG15">
      <formula1>$AG$1:$AG$9</formula1>
    </dataValidation>
    <dataValidation type="list" allowBlank="1" showInputMessage="1" showErrorMessage="1" sqref="K11:K14 K17:K19">
      <formula1>$K$1:$K$9</formula1>
    </dataValidation>
    <dataValidation type="list" allowBlank="1" showInputMessage="1" showErrorMessage="1" sqref="AJ11:AJ22">
      <formula1>$AJ$1:$AJ$8</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dimension ref="A1:A50"/>
  <sheetViews>
    <sheetView topLeftCell="A5" workbookViewId="0">
      <selection activeCell="A6" sqref="A6"/>
    </sheetView>
  </sheetViews>
  <sheetFormatPr defaultRowHeight="12.75"/>
  <cols>
    <col min="1" max="1" width="118.5703125" style="58" customWidth="1"/>
    <col min="2" max="16384" width="9.140625" style="57"/>
  </cols>
  <sheetData>
    <row r="1" spans="1:1">
      <c r="A1" s="56" t="s">
        <v>121</v>
      </c>
    </row>
    <row r="3" spans="1:1" ht="25.5">
      <c r="A3" s="58" t="s">
        <v>173</v>
      </c>
    </row>
    <row r="5" spans="1:1" ht="25.5">
      <c r="A5" s="58" t="s">
        <v>174</v>
      </c>
    </row>
    <row r="7" spans="1:1">
      <c r="A7" s="60" t="s">
        <v>122</v>
      </c>
    </row>
    <row r="8" spans="1:1">
      <c r="A8" s="61"/>
    </row>
    <row r="9" spans="1:1">
      <c r="A9" s="59" t="s">
        <v>123</v>
      </c>
    </row>
    <row r="10" spans="1:1">
      <c r="A10" s="59"/>
    </row>
    <row r="11" spans="1:1">
      <c r="A11" s="59" t="s">
        <v>143</v>
      </c>
    </row>
    <row r="12" spans="1:1">
      <c r="A12" s="59"/>
    </row>
    <row r="13" spans="1:1" ht="25.5">
      <c r="A13" s="59" t="s">
        <v>144</v>
      </c>
    </row>
    <row r="14" spans="1:1">
      <c r="A14" s="59"/>
    </row>
    <row r="15" spans="1:1">
      <c r="A15" s="59" t="s">
        <v>124</v>
      </c>
    </row>
    <row r="16" spans="1:1">
      <c r="A16" s="59"/>
    </row>
    <row r="17" spans="1:1">
      <c r="A17" s="60" t="s">
        <v>125</v>
      </c>
    </row>
    <row r="18" spans="1:1">
      <c r="A18" s="59"/>
    </row>
    <row r="19" spans="1:1" ht="25.5">
      <c r="A19" s="59" t="s">
        <v>145</v>
      </c>
    </row>
    <row r="20" spans="1:1">
      <c r="A20" s="59"/>
    </row>
    <row r="21" spans="1:1">
      <c r="A21" s="59" t="s">
        <v>146</v>
      </c>
    </row>
    <row r="22" spans="1:1">
      <c r="A22" s="59"/>
    </row>
    <row r="23" spans="1:1">
      <c r="A23" s="59" t="s">
        <v>147</v>
      </c>
    </row>
    <row r="24" spans="1:1">
      <c r="A24" s="59"/>
    </row>
    <row r="25" spans="1:1">
      <c r="A25" s="60" t="s">
        <v>126</v>
      </c>
    </row>
    <row r="26" spans="1:1">
      <c r="A26" s="59"/>
    </row>
    <row r="27" spans="1:1" ht="25.5">
      <c r="A27" s="59" t="s">
        <v>148</v>
      </c>
    </row>
    <row r="28" spans="1:1">
      <c r="A28" s="59"/>
    </row>
    <row r="29" spans="1:1">
      <c r="A29" s="59" t="s">
        <v>149</v>
      </c>
    </row>
    <row r="31" spans="1:1">
      <c r="A31" s="60" t="s">
        <v>127</v>
      </c>
    </row>
    <row r="33" spans="1:1">
      <c r="A33" s="58" t="s">
        <v>150</v>
      </c>
    </row>
    <row r="35" spans="1:1">
      <c r="A35" s="60" t="s">
        <v>128</v>
      </c>
    </row>
    <row r="37" spans="1:1">
      <c r="A37" s="58" t="s">
        <v>151</v>
      </c>
    </row>
    <row r="39" spans="1:1">
      <c r="A39" s="56" t="s">
        <v>129</v>
      </c>
    </row>
    <row r="40" spans="1:1">
      <c r="A40" s="58" t="s">
        <v>130</v>
      </c>
    </row>
    <row r="41" spans="1:1">
      <c r="A41" s="58" t="s">
        <v>152</v>
      </c>
    </row>
    <row r="42" spans="1:1">
      <c r="A42" s="58" t="s">
        <v>153</v>
      </c>
    </row>
    <row r="44" spans="1:1">
      <c r="A44" s="58" t="s">
        <v>131</v>
      </c>
    </row>
    <row r="45" spans="1:1">
      <c r="A45" s="58" t="s">
        <v>132</v>
      </c>
    </row>
    <row r="46" spans="1:1">
      <c r="A46" s="58" t="s">
        <v>133</v>
      </c>
    </row>
    <row r="47" spans="1:1">
      <c r="A47" s="58" t="s">
        <v>134</v>
      </c>
    </row>
    <row r="48" spans="1:1" ht="14.25">
      <c r="A48" s="58" t="s">
        <v>135</v>
      </c>
    </row>
    <row r="49" spans="1:1">
      <c r="A49" s="58" t="s">
        <v>136</v>
      </c>
    </row>
    <row r="50" spans="1:1" ht="15.75">
      <c r="A50" s="58" t="s">
        <v>137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A19"/>
  <sheetViews>
    <sheetView workbookViewId="0">
      <selection activeCell="A6" sqref="A6"/>
    </sheetView>
  </sheetViews>
  <sheetFormatPr defaultRowHeight="12.75"/>
  <cols>
    <col min="1" max="1" width="102" style="69" customWidth="1"/>
    <col min="2" max="16384" width="9.140625" style="67"/>
  </cols>
  <sheetData>
    <row r="1" spans="1:1">
      <c r="A1" s="66" t="s">
        <v>138</v>
      </c>
    </row>
    <row r="2" spans="1:1">
      <c r="A2" s="59" t="s">
        <v>140</v>
      </c>
    </row>
    <row r="3" spans="1:1">
      <c r="A3" s="59"/>
    </row>
    <row r="4" spans="1:1" ht="38.25">
      <c r="A4" s="68" t="s">
        <v>154</v>
      </c>
    </row>
    <row r="5" spans="1:1">
      <c r="A5" s="68"/>
    </row>
    <row r="6" spans="1:1" ht="38.25">
      <c r="A6" s="68" t="s">
        <v>155</v>
      </c>
    </row>
    <row r="7" spans="1:1">
      <c r="A7" s="68"/>
    </row>
    <row r="8" spans="1:1" ht="51">
      <c r="A8" s="68" t="s">
        <v>156</v>
      </c>
    </row>
    <row r="9" spans="1:1">
      <c r="A9" s="68"/>
    </row>
    <row r="10" spans="1:1" ht="38.25">
      <c r="A10" s="68" t="s">
        <v>157</v>
      </c>
    </row>
    <row r="11" spans="1:1">
      <c r="A11" s="68"/>
    </row>
    <row r="12" spans="1:1" ht="127.5">
      <c r="A12" s="68" t="s">
        <v>158</v>
      </c>
    </row>
    <row r="13" spans="1:1" ht="38.25">
      <c r="A13" s="68" t="s">
        <v>141</v>
      </c>
    </row>
    <row r="14" spans="1:1">
      <c r="A14" s="68"/>
    </row>
    <row r="15" spans="1:1" ht="38.25">
      <c r="A15" s="68" t="s">
        <v>159</v>
      </c>
    </row>
    <row r="16" spans="1:1">
      <c r="A16" s="68"/>
    </row>
    <row r="17" spans="1:1" ht="25.5">
      <c r="A17" s="68" t="s">
        <v>160</v>
      </c>
    </row>
    <row r="18" spans="1:1">
      <c r="A18" s="68"/>
    </row>
    <row r="19" spans="1:1">
      <c r="A19" s="68" t="s">
        <v>139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O122"/>
  <sheetViews>
    <sheetView topLeftCell="A89" zoomScaleNormal="100" workbookViewId="0">
      <selection activeCell="E122" sqref="E122"/>
    </sheetView>
  </sheetViews>
  <sheetFormatPr defaultRowHeight="15"/>
  <cols>
    <col min="1" max="1" width="14.42578125" customWidth="1"/>
    <col min="2" max="2" width="20.140625" customWidth="1"/>
    <col min="3" max="3" width="14.7109375" customWidth="1"/>
    <col min="4" max="4" width="17.5703125" customWidth="1"/>
    <col min="5" max="5" width="18.85546875" bestFit="1" customWidth="1"/>
  </cols>
  <sheetData>
    <row r="1" spans="1:12">
      <c r="A1" s="31"/>
      <c r="B1" s="466" t="s">
        <v>24</v>
      </c>
      <c r="C1" s="467"/>
      <c r="D1" s="467"/>
      <c r="E1" s="467"/>
      <c r="F1" s="468"/>
      <c r="G1" s="468"/>
      <c r="H1" s="468"/>
      <c r="I1" s="468"/>
      <c r="J1" s="468"/>
      <c r="K1" s="468"/>
      <c r="L1" s="469"/>
    </row>
    <row r="2" spans="1:12" ht="39">
      <c r="A2" s="32" t="s">
        <v>0</v>
      </c>
      <c r="B2" s="2" t="s">
        <v>176</v>
      </c>
      <c r="C2" s="2"/>
      <c r="D2" s="3"/>
      <c r="E2" s="2"/>
      <c r="F2" s="2"/>
      <c r="G2" s="2"/>
      <c r="H2" s="2"/>
      <c r="I2" s="33"/>
      <c r="J2" s="33"/>
      <c r="K2" s="33"/>
      <c r="L2" s="33"/>
    </row>
    <row r="3" spans="1:12">
      <c r="A3" s="17">
        <v>1</v>
      </c>
      <c r="B3" s="34">
        <v>1.350210970464135E-2</v>
      </c>
      <c r="C3" s="34"/>
      <c r="D3" s="4"/>
      <c r="E3" s="5"/>
      <c r="F3" s="5"/>
      <c r="G3" s="5"/>
      <c r="H3" s="5"/>
      <c r="I3" s="35"/>
      <c r="J3" s="35"/>
      <c r="K3" s="35"/>
      <c r="L3" s="36"/>
    </row>
    <row r="4" spans="1:12">
      <c r="A4" s="18">
        <v>2</v>
      </c>
      <c r="B4" s="37">
        <v>2.2888757147700424E-2</v>
      </c>
      <c r="C4" s="37"/>
      <c r="D4" s="4"/>
      <c r="E4" s="5"/>
      <c r="F4" s="5"/>
      <c r="G4" s="5"/>
      <c r="H4" s="5"/>
      <c r="I4" s="19"/>
      <c r="J4" s="19"/>
      <c r="K4" s="19"/>
      <c r="L4" s="21"/>
    </row>
    <row r="5" spans="1:12">
      <c r="A5" s="18">
        <v>3</v>
      </c>
      <c r="B5" s="37">
        <v>7.5949367088607597E-2</v>
      </c>
      <c r="C5" s="38"/>
      <c r="D5" s="5"/>
      <c r="E5" s="5"/>
      <c r="F5" s="5"/>
      <c r="G5" s="5"/>
      <c r="H5" s="5"/>
      <c r="I5" s="20"/>
      <c r="J5" s="20"/>
      <c r="K5" s="19"/>
      <c r="L5" s="21"/>
    </row>
    <row r="6" spans="1:12">
      <c r="A6" s="18">
        <v>4</v>
      </c>
      <c r="B6" s="4">
        <v>0.10801687763713079</v>
      </c>
      <c r="C6" s="5"/>
      <c r="D6" s="20"/>
      <c r="E6" s="20"/>
      <c r="F6" s="20"/>
      <c r="G6" s="20"/>
      <c r="H6" s="20"/>
      <c r="I6" s="20"/>
      <c r="J6" s="20"/>
      <c r="K6" s="19"/>
      <c r="L6" s="21"/>
    </row>
    <row r="7" spans="1:12">
      <c r="A7" s="18">
        <v>5</v>
      </c>
      <c r="B7" s="29"/>
      <c r="C7" s="7"/>
      <c r="D7" s="20"/>
      <c r="E7" s="20"/>
      <c r="F7" s="20"/>
      <c r="G7" s="20"/>
      <c r="H7" s="20"/>
      <c r="I7" s="20"/>
      <c r="J7" s="20"/>
      <c r="K7" s="19"/>
      <c r="L7" s="21"/>
    </row>
    <row r="8" spans="1:12">
      <c r="A8" s="18">
        <v>6</v>
      </c>
      <c r="B8" s="29"/>
      <c r="C8" s="7"/>
      <c r="D8" s="20"/>
      <c r="E8" s="20"/>
      <c r="F8" s="20"/>
      <c r="G8" s="20"/>
      <c r="H8" s="20"/>
      <c r="I8" s="20"/>
      <c r="J8" s="20"/>
      <c r="K8" s="19"/>
      <c r="L8" s="21"/>
    </row>
    <row r="9" spans="1:12">
      <c r="A9" s="18">
        <v>7</v>
      </c>
      <c r="B9" s="6"/>
      <c r="C9" s="7"/>
      <c r="D9" s="20"/>
      <c r="E9" s="20"/>
      <c r="F9" s="20"/>
      <c r="G9" s="20"/>
      <c r="H9" s="20"/>
      <c r="I9" s="20"/>
      <c r="J9" s="20"/>
      <c r="K9" s="19"/>
      <c r="L9" s="21"/>
    </row>
    <row r="10" spans="1:12">
      <c r="A10" s="18">
        <v>8</v>
      </c>
      <c r="B10" s="6"/>
      <c r="C10" s="6"/>
      <c r="D10" s="19"/>
      <c r="E10" s="19"/>
      <c r="F10" s="19"/>
      <c r="G10" s="19"/>
      <c r="H10" s="19"/>
      <c r="I10" s="19"/>
      <c r="J10" s="19"/>
      <c r="K10" s="19"/>
      <c r="L10" s="21"/>
    </row>
    <row r="11" spans="1:12">
      <c r="A11" s="18">
        <v>9</v>
      </c>
      <c r="B11" s="6"/>
      <c r="C11" s="6"/>
      <c r="D11" s="19"/>
      <c r="E11" s="19"/>
      <c r="F11" s="19"/>
      <c r="G11" s="19"/>
      <c r="H11" s="19"/>
      <c r="I11" s="19"/>
      <c r="J11" s="19"/>
      <c r="K11" s="19"/>
      <c r="L11" s="21"/>
    </row>
    <row r="12" spans="1:12">
      <c r="A12" s="18">
        <v>10</v>
      </c>
      <c r="B12" s="6"/>
      <c r="C12" s="6"/>
      <c r="D12" s="19"/>
      <c r="E12" s="19"/>
      <c r="F12" s="19"/>
      <c r="G12" s="19"/>
      <c r="H12" s="19"/>
      <c r="I12" s="19"/>
      <c r="J12" s="19"/>
      <c r="K12" s="19"/>
      <c r="L12" s="21"/>
    </row>
    <row r="13" spans="1:12">
      <c r="A13" s="18">
        <v>11</v>
      </c>
      <c r="B13" s="6"/>
      <c r="C13" s="6"/>
      <c r="D13" s="19"/>
      <c r="E13" s="19"/>
      <c r="F13" s="19"/>
      <c r="G13" s="19"/>
      <c r="H13" s="19"/>
      <c r="I13" s="19"/>
      <c r="J13" s="19"/>
      <c r="K13" s="19"/>
      <c r="L13" s="21"/>
    </row>
    <row r="14" spans="1:12">
      <c r="A14" s="18">
        <v>12</v>
      </c>
      <c r="B14" s="6"/>
      <c r="C14" s="6"/>
      <c r="D14" s="19"/>
      <c r="E14" s="19"/>
      <c r="F14" s="19"/>
      <c r="G14" s="19"/>
      <c r="H14" s="19"/>
      <c r="I14" s="19"/>
      <c r="J14" s="19"/>
      <c r="K14" s="19"/>
      <c r="L14" s="21"/>
    </row>
    <row r="15" spans="1:12">
      <c r="A15" s="18">
        <v>13</v>
      </c>
      <c r="B15" s="6"/>
      <c r="C15" s="6"/>
      <c r="D15" s="19"/>
      <c r="E15" s="19"/>
      <c r="F15" s="19"/>
      <c r="G15" s="19"/>
      <c r="H15" s="19"/>
      <c r="I15" s="19"/>
      <c r="J15" s="19"/>
      <c r="K15" s="19"/>
      <c r="L15" s="21"/>
    </row>
    <row r="16" spans="1:12">
      <c r="A16" s="18">
        <v>14</v>
      </c>
      <c r="B16" s="6"/>
      <c r="C16" s="6"/>
      <c r="D16" s="19"/>
      <c r="E16" s="19"/>
      <c r="F16" s="19"/>
      <c r="G16" s="19"/>
      <c r="H16" s="19"/>
      <c r="I16" s="19"/>
      <c r="J16" s="19"/>
      <c r="K16" s="19"/>
      <c r="L16" s="21"/>
    </row>
    <row r="17" spans="1:12">
      <c r="A17" s="18">
        <v>15</v>
      </c>
      <c r="B17" s="19"/>
      <c r="C17" s="19"/>
      <c r="D17" s="19"/>
      <c r="E17" s="19"/>
      <c r="F17" s="19"/>
      <c r="G17" s="19"/>
      <c r="H17" s="19"/>
      <c r="I17" s="19"/>
      <c r="J17" s="19"/>
      <c r="K17" s="19"/>
      <c r="L17" s="21"/>
    </row>
    <row r="18" spans="1:12">
      <c r="A18" s="18">
        <v>16</v>
      </c>
      <c r="B18" s="19"/>
      <c r="C18" s="19"/>
      <c r="D18" s="19"/>
      <c r="E18" s="19"/>
      <c r="F18" s="19"/>
      <c r="G18" s="19"/>
      <c r="H18" s="19"/>
      <c r="I18" s="19"/>
      <c r="J18" s="19"/>
      <c r="K18" s="19"/>
      <c r="L18" s="21"/>
    </row>
    <row r="19" spans="1:12">
      <c r="A19" s="18">
        <v>17</v>
      </c>
      <c r="B19" s="19"/>
      <c r="C19" s="19"/>
      <c r="D19" s="19"/>
      <c r="E19" s="19"/>
      <c r="F19" s="19"/>
      <c r="G19" s="19"/>
      <c r="H19" s="19"/>
      <c r="I19" s="19"/>
      <c r="J19" s="19"/>
      <c r="K19" s="19"/>
      <c r="L19" s="21"/>
    </row>
    <row r="20" spans="1:12">
      <c r="A20" s="18">
        <v>18</v>
      </c>
      <c r="B20" s="19"/>
      <c r="C20" s="19"/>
      <c r="D20" s="19"/>
      <c r="E20" s="19"/>
      <c r="F20" s="19"/>
      <c r="G20" s="19"/>
      <c r="H20" s="19"/>
      <c r="I20" s="19"/>
      <c r="J20" s="19"/>
      <c r="K20" s="19"/>
      <c r="L20" s="21"/>
    </row>
    <row r="21" spans="1:12">
      <c r="A21" s="18">
        <v>19</v>
      </c>
      <c r="B21" s="19"/>
      <c r="C21" s="19"/>
      <c r="D21" s="19"/>
      <c r="E21" s="19"/>
      <c r="F21" s="19"/>
      <c r="G21" s="19"/>
      <c r="H21" s="19"/>
      <c r="I21" s="19"/>
      <c r="J21" s="19"/>
      <c r="K21" s="19"/>
      <c r="L21" s="21"/>
    </row>
    <row r="22" spans="1:12">
      <c r="A22" s="18">
        <v>20</v>
      </c>
      <c r="B22" s="19"/>
      <c r="C22" s="19"/>
      <c r="D22" s="19"/>
      <c r="E22" s="19"/>
      <c r="F22" s="19"/>
      <c r="G22" s="19"/>
      <c r="H22" s="19"/>
      <c r="I22" s="19"/>
      <c r="J22" s="19"/>
      <c r="K22" s="19"/>
      <c r="L22" s="21"/>
    </row>
    <row r="23" spans="1:12">
      <c r="A23" s="18">
        <v>21</v>
      </c>
      <c r="B23" s="19"/>
      <c r="C23" s="19"/>
      <c r="D23" s="19"/>
      <c r="E23" s="19"/>
      <c r="F23" s="19"/>
      <c r="G23" s="19"/>
      <c r="H23" s="19"/>
      <c r="I23" s="19"/>
      <c r="J23" s="19"/>
      <c r="K23" s="19"/>
      <c r="L23" s="21"/>
    </row>
    <row r="24" spans="1:12">
      <c r="A24" s="18">
        <v>22</v>
      </c>
      <c r="B24" s="19"/>
      <c r="C24" s="19"/>
      <c r="D24" s="19"/>
      <c r="E24" s="19"/>
      <c r="F24" s="19"/>
      <c r="G24" s="19"/>
      <c r="H24" s="19"/>
      <c r="I24" s="19"/>
      <c r="J24" s="19"/>
      <c r="K24" s="19"/>
      <c r="L24" s="21"/>
    </row>
    <row r="25" spans="1:12">
      <c r="A25" s="18">
        <v>23</v>
      </c>
      <c r="B25" s="19"/>
      <c r="C25" s="19"/>
      <c r="D25" s="19"/>
      <c r="E25" s="19"/>
      <c r="F25" s="19"/>
      <c r="G25" s="19"/>
      <c r="H25" s="19"/>
      <c r="I25" s="19"/>
      <c r="J25" s="19"/>
      <c r="K25" s="19"/>
      <c r="L25" s="21"/>
    </row>
    <row r="26" spans="1:12">
      <c r="A26" s="18">
        <v>24</v>
      </c>
      <c r="B26" s="19"/>
      <c r="C26" s="19"/>
      <c r="D26" s="19"/>
      <c r="E26" s="19"/>
      <c r="F26" s="19"/>
      <c r="G26" s="19"/>
      <c r="H26" s="19"/>
      <c r="I26" s="19"/>
      <c r="J26" s="19"/>
      <c r="K26" s="19"/>
      <c r="L26" s="21"/>
    </row>
    <row r="27" spans="1:12">
      <c r="A27" s="18">
        <v>25</v>
      </c>
      <c r="B27" s="19"/>
      <c r="C27" s="19"/>
      <c r="D27" s="19"/>
      <c r="E27" s="19"/>
      <c r="F27" s="19"/>
      <c r="G27" s="19"/>
      <c r="H27" s="19"/>
      <c r="I27" s="19"/>
      <c r="J27" s="19"/>
      <c r="K27" s="19"/>
      <c r="L27" s="21"/>
    </row>
    <row r="28" spans="1:12">
      <c r="A28" s="18">
        <v>26</v>
      </c>
      <c r="B28" s="19"/>
      <c r="C28" s="19"/>
      <c r="D28" s="19"/>
      <c r="E28" s="19"/>
      <c r="F28" s="19"/>
      <c r="G28" s="19"/>
      <c r="H28" s="19"/>
      <c r="I28" s="19"/>
      <c r="J28" s="19"/>
      <c r="K28" s="19"/>
      <c r="L28" s="21"/>
    </row>
    <row r="29" spans="1:12">
      <c r="A29" s="18">
        <v>27</v>
      </c>
      <c r="B29" s="19"/>
      <c r="C29" s="19"/>
      <c r="D29" s="19"/>
      <c r="E29" s="19"/>
      <c r="F29" s="19"/>
      <c r="G29" s="19"/>
      <c r="H29" s="19"/>
      <c r="I29" s="19"/>
      <c r="J29" s="19"/>
      <c r="K29" s="19"/>
      <c r="L29" s="21"/>
    </row>
    <row r="30" spans="1:12">
      <c r="A30" s="18">
        <v>28</v>
      </c>
      <c r="B30" s="19"/>
      <c r="C30" s="19"/>
      <c r="D30" s="19"/>
      <c r="E30" s="19"/>
      <c r="F30" s="19"/>
      <c r="G30" s="19"/>
      <c r="H30" s="19"/>
      <c r="I30" s="19"/>
      <c r="J30" s="19"/>
      <c r="K30" s="19"/>
      <c r="L30" s="21"/>
    </row>
    <row r="31" spans="1:12">
      <c r="A31" s="18">
        <v>29</v>
      </c>
      <c r="B31" s="19"/>
      <c r="C31" s="19"/>
      <c r="D31" s="19"/>
      <c r="E31" s="19"/>
      <c r="F31" s="19"/>
      <c r="G31" s="19"/>
      <c r="H31" s="19"/>
      <c r="I31" s="19"/>
      <c r="J31" s="19"/>
      <c r="K31" s="19"/>
      <c r="L31" s="22"/>
    </row>
    <row r="32" spans="1:12">
      <c r="A32" s="18">
        <v>30</v>
      </c>
      <c r="B32" s="19"/>
      <c r="C32" s="19"/>
      <c r="D32" s="19"/>
      <c r="E32" s="19"/>
      <c r="F32" s="19"/>
      <c r="G32" s="19"/>
      <c r="H32" s="19"/>
      <c r="I32" s="19"/>
      <c r="J32" s="19"/>
      <c r="K32" s="19"/>
      <c r="L32" s="22"/>
    </row>
    <row r="33" spans="1:15">
      <c r="A33" s="18">
        <v>31</v>
      </c>
      <c r="B33" s="19"/>
      <c r="C33" s="19"/>
      <c r="D33" s="19"/>
      <c r="E33" s="19"/>
      <c r="F33" s="19"/>
      <c r="G33" s="19"/>
      <c r="H33" s="19"/>
      <c r="I33" s="19"/>
      <c r="J33" s="19"/>
      <c r="K33" s="19"/>
      <c r="L33" s="22"/>
    </row>
    <row r="34" spans="1:15">
      <c r="A34" s="18">
        <v>32</v>
      </c>
      <c r="B34" s="19"/>
      <c r="C34" s="19"/>
      <c r="D34" s="19"/>
      <c r="E34" s="19"/>
      <c r="F34" s="19"/>
      <c r="G34" s="19"/>
      <c r="H34" s="19"/>
      <c r="I34" s="19"/>
      <c r="J34" s="19"/>
      <c r="K34" s="19"/>
      <c r="L34" s="22"/>
    </row>
    <row r="35" spans="1:15">
      <c r="A35" s="18">
        <v>33</v>
      </c>
      <c r="B35" s="20"/>
      <c r="C35" s="20"/>
      <c r="D35" s="20"/>
      <c r="E35" s="20"/>
      <c r="F35" s="20"/>
      <c r="G35" s="20"/>
      <c r="H35" s="20"/>
      <c r="I35" s="20"/>
      <c r="J35" s="20"/>
      <c r="K35" s="19"/>
      <c r="L35" s="22"/>
    </row>
    <row r="36" spans="1:15">
      <c r="A36" s="18">
        <v>34</v>
      </c>
      <c r="B36" s="20"/>
      <c r="C36" s="20"/>
      <c r="D36" s="20"/>
      <c r="E36" s="20"/>
      <c r="F36" s="20"/>
      <c r="G36" s="20"/>
      <c r="H36" s="20"/>
      <c r="I36" s="20"/>
      <c r="J36" s="20"/>
      <c r="K36" s="19"/>
      <c r="L36" s="22"/>
    </row>
    <row r="37" spans="1:15">
      <c r="A37" s="18">
        <v>35</v>
      </c>
      <c r="B37" s="23"/>
      <c r="C37" s="23"/>
      <c r="D37" s="23"/>
      <c r="E37" s="23"/>
      <c r="F37" s="23"/>
      <c r="G37" s="23"/>
      <c r="H37" s="23"/>
      <c r="I37" s="23"/>
      <c r="J37" s="23"/>
      <c r="K37" s="24"/>
      <c r="L37" s="25"/>
    </row>
    <row r="39" spans="1:15">
      <c r="A39" s="26" t="s">
        <v>1</v>
      </c>
      <c r="B39" s="27" t="s">
        <v>2</v>
      </c>
      <c r="C39" s="27"/>
    </row>
    <row r="40" spans="1:15">
      <c r="A40" s="26" t="s">
        <v>3</v>
      </c>
      <c r="B40" s="28">
        <f>COUNT(B3:L37)</f>
        <v>4</v>
      </c>
      <c r="C40" s="28"/>
    </row>
    <row r="41" spans="1:15">
      <c r="A41" s="26" t="s">
        <v>4</v>
      </c>
      <c r="B41" s="63">
        <f>KURT(B3:L37)</f>
        <v>-3.423662562692245</v>
      </c>
      <c r="C41" s="28"/>
      <c r="E41" s="470" t="s">
        <v>142</v>
      </c>
      <c r="F41" s="470"/>
      <c r="G41" s="470"/>
      <c r="H41" s="470"/>
      <c r="I41" s="470"/>
      <c r="J41" s="470"/>
      <c r="K41" s="470"/>
      <c r="L41" s="470"/>
      <c r="M41" s="470"/>
      <c r="N41" s="470"/>
      <c r="O41" s="470"/>
    </row>
    <row r="42" spans="1:15">
      <c r="A42" s="26" t="s">
        <v>5</v>
      </c>
      <c r="B42" s="28">
        <f>SQRT((B40^2-1)/((B40-3)*(B40+5)))</f>
        <v>1.2909944487358056</v>
      </c>
      <c r="C42" s="28"/>
    </row>
    <row r="43" spans="1:15">
      <c r="A43" s="26" t="s">
        <v>6</v>
      </c>
      <c r="B43" s="28" t="str">
        <f>IF(ABS(B41/B42)&gt;NORMSINV(1-0.05/2),"non normal","normal")</f>
        <v>non normal</v>
      </c>
      <c r="C43" s="28"/>
    </row>
    <row r="44" spans="1:15">
      <c r="A44" s="26" t="s">
        <v>7</v>
      </c>
      <c r="B44" s="62">
        <f>SKEW(B3:L37)</f>
        <v>0.38755049291912408</v>
      </c>
      <c r="C44" s="28"/>
    </row>
    <row r="45" spans="1:15">
      <c r="A45" s="26" t="s">
        <v>8</v>
      </c>
      <c r="B45" s="28">
        <f>SQRT((6*B40*(B40-1))/((B40-2)*(B40+1)*(B40+3)))</f>
        <v>1.0141851056742199</v>
      </c>
      <c r="C45" s="28"/>
      <c r="D45" s="39" t="s">
        <v>25</v>
      </c>
    </row>
    <row r="46" spans="1:15">
      <c r="A46" s="26" t="s">
        <v>9</v>
      </c>
      <c r="B46" s="28" t="str">
        <f>IF(ABS(B44/B45)&gt;NORMSINV(1-0.05/2),"non normal","normal")</f>
        <v>normal</v>
      </c>
      <c r="C46" s="28"/>
      <c r="D46" s="40" t="str">
        <f>IF(AND(B43="normal", B46="normal"),"normal", "non normal")</f>
        <v>non normal</v>
      </c>
    </row>
    <row r="48" spans="1:15">
      <c r="A48" s="8" t="s">
        <v>10</v>
      </c>
      <c r="B48" s="9">
        <f>COUNT(B3:B37)</f>
        <v>4</v>
      </c>
      <c r="C48" s="9">
        <f t="shared" ref="C48:L48" si="0">COUNT(C3:C37)</f>
        <v>0</v>
      </c>
      <c r="D48" s="9">
        <f t="shared" si="0"/>
        <v>0</v>
      </c>
      <c r="E48" s="9">
        <f t="shared" si="0"/>
        <v>0</v>
      </c>
      <c r="F48" s="9">
        <f t="shared" si="0"/>
        <v>0</v>
      </c>
      <c r="G48" s="9">
        <f t="shared" si="0"/>
        <v>0</v>
      </c>
      <c r="H48" s="9">
        <f t="shared" si="0"/>
        <v>0</v>
      </c>
      <c r="I48" s="9">
        <f t="shared" si="0"/>
        <v>0</v>
      </c>
      <c r="J48" s="9">
        <f t="shared" si="0"/>
        <v>0</v>
      </c>
      <c r="K48" s="9">
        <f t="shared" si="0"/>
        <v>0</v>
      </c>
      <c r="L48" s="9">
        <f t="shared" si="0"/>
        <v>0</v>
      </c>
    </row>
    <row r="49" spans="1:12">
      <c r="A49" s="9"/>
      <c r="B49" s="9"/>
      <c r="C49" s="9"/>
      <c r="D49" s="9"/>
      <c r="E49" s="9"/>
      <c r="F49" s="9"/>
      <c r="G49" s="9"/>
      <c r="H49" s="9"/>
      <c r="I49" s="9"/>
      <c r="J49" s="9"/>
      <c r="K49" s="9"/>
      <c r="L49" s="9"/>
    </row>
    <row r="50" spans="1:12">
      <c r="A50" s="8" t="s">
        <v>11</v>
      </c>
      <c r="B50" s="10">
        <f>COUNTA(B2:L2)</f>
        <v>1</v>
      </c>
      <c r="C50" s="9"/>
      <c r="D50" s="9"/>
      <c r="E50" s="9"/>
      <c r="F50" s="9"/>
      <c r="G50" s="9"/>
      <c r="H50" s="9"/>
      <c r="I50" s="9"/>
      <c r="J50" s="9"/>
      <c r="K50" s="9"/>
      <c r="L50" s="9"/>
    </row>
    <row r="51" spans="1:12">
      <c r="A51" s="9"/>
      <c r="B51" s="9"/>
      <c r="C51" s="9"/>
      <c r="D51" s="9"/>
      <c r="E51" s="9"/>
      <c r="F51" s="9"/>
      <c r="G51" s="9"/>
      <c r="H51" s="9"/>
      <c r="I51" s="9"/>
      <c r="J51" s="9"/>
      <c r="K51" s="9"/>
      <c r="L51" s="9"/>
    </row>
    <row r="52" spans="1:12">
      <c r="A52" s="9"/>
      <c r="B52" s="9"/>
      <c r="C52" s="9"/>
      <c r="D52" s="9"/>
      <c r="E52" s="9"/>
      <c r="F52" s="9"/>
      <c r="G52" s="9"/>
      <c r="H52" s="9"/>
      <c r="I52" s="11"/>
      <c r="J52" s="11"/>
      <c r="K52" s="1"/>
      <c r="L52" s="1"/>
    </row>
    <row r="53" spans="1:12">
      <c r="A53" s="8" t="s">
        <v>12</v>
      </c>
      <c r="B53" s="9">
        <f>SUM(B48:L48)</f>
        <v>4</v>
      </c>
      <c r="C53" s="9"/>
      <c r="D53" s="9"/>
      <c r="E53" s="9"/>
      <c r="F53" s="9"/>
      <c r="G53" s="9"/>
      <c r="H53" s="9"/>
      <c r="I53" s="9"/>
      <c r="J53" s="9"/>
      <c r="K53" s="1"/>
      <c r="L53" s="1"/>
    </row>
    <row r="54" spans="1:12">
      <c r="A54" s="9"/>
      <c r="B54" s="9"/>
      <c r="C54" s="9"/>
      <c r="D54" s="9"/>
      <c r="E54" s="9"/>
      <c r="F54" s="9"/>
      <c r="G54" s="9"/>
      <c r="H54" s="9"/>
      <c r="I54" s="9"/>
      <c r="J54" s="9"/>
      <c r="K54" s="1"/>
      <c r="L54" s="1"/>
    </row>
    <row r="55" spans="1:12">
      <c r="A55" s="9"/>
      <c r="B55" s="9"/>
      <c r="C55" s="9"/>
      <c r="D55" s="9"/>
      <c r="E55" s="9"/>
      <c r="F55" s="9"/>
      <c r="G55" s="9"/>
      <c r="H55" s="9"/>
      <c r="I55" s="9"/>
      <c r="J55" s="9"/>
      <c r="K55" s="1"/>
      <c r="L55" s="1"/>
    </row>
    <row r="56" spans="1:12">
      <c r="A56" s="9"/>
      <c r="B56" s="9"/>
      <c r="C56" s="9"/>
      <c r="D56" s="9"/>
      <c r="E56" s="9"/>
      <c r="F56" s="9"/>
      <c r="G56" s="9"/>
      <c r="H56" s="9"/>
      <c r="I56" s="11"/>
      <c r="J56" s="11"/>
      <c r="K56" s="1"/>
      <c r="L56" s="1"/>
    </row>
    <row r="57" spans="1:12">
      <c r="A57" s="9"/>
      <c r="B57" s="9"/>
      <c r="C57" s="9"/>
      <c r="D57" s="9"/>
      <c r="E57" s="9"/>
      <c r="F57" s="9"/>
      <c r="G57" s="9"/>
      <c r="H57" s="9"/>
      <c r="I57" s="11"/>
      <c r="J57" s="11"/>
      <c r="K57" s="1"/>
      <c r="L57" s="1"/>
    </row>
    <row r="58" spans="1:12">
      <c r="A58" s="9"/>
      <c r="B58" s="12">
        <f>B53-1</f>
        <v>3</v>
      </c>
      <c r="C58" s="9"/>
      <c r="D58" s="9"/>
      <c r="E58" s="9"/>
      <c r="F58" s="9"/>
      <c r="G58" s="9"/>
      <c r="H58" s="9"/>
      <c r="I58" s="11"/>
      <c r="J58" s="11"/>
      <c r="K58" s="1"/>
      <c r="L58" s="1"/>
    </row>
    <row r="59" spans="1:12">
      <c r="A59" s="9"/>
      <c r="B59" s="9"/>
      <c r="C59" s="9"/>
      <c r="D59" s="9"/>
      <c r="E59" s="9"/>
      <c r="F59" s="9"/>
      <c r="G59" s="9"/>
      <c r="H59" s="9"/>
      <c r="I59" s="11"/>
      <c r="J59" s="11"/>
      <c r="K59" s="1"/>
      <c r="L59" s="1"/>
    </row>
    <row r="60" spans="1:12">
      <c r="A60" s="9"/>
      <c r="B60" s="9"/>
      <c r="C60" s="9"/>
      <c r="D60" s="9"/>
      <c r="E60" s="9"/>
      <c r="F60" s="9"/>
      <c r="G60" s="9"/>
      <c r="H60" s="9"/>
      <c r="I60" s="11"/>
      <c r="J60" s="11"/>
      <c r="K60" s="1"/>
      <c r="L60" s="1"/>
    </row>
    <row r="61" spans="1:12">
      <c r="A61" s="9"/>
      <c r="B61" s="9"/>
      <c r="C61" s="9"/>
      <c r="D61" s="9"/>
      <c r="E61" s="9"/>
      <c r="F61" s="9"/>
      <c r="G61" s="9"/>
      <c r="H61" s="9"/>
      <c r="I61" s="11"/>
      <c r="J61" s="11"/>
      <c r="K61" s="1"/>
      <c r="L61" s="1"/>
    </row>
    <row r="62" spans="1:12">
      <c r="A62" s="9"/>
      <c r="B62" s="9"/>
      <c r="C62" s="9"/>
      <c r="D62" s="9"/>
      <c r="E62" s="9"/>
      <c r="F62" s="9"/>
      <c r="G62" s="13"/>
      <c r="H62" s="9"/>
      <c r="I62" s="11"/>
      <c r="J62" s="11"/>
      <c r="K62" s="1"/>
      <c r="L62" s="1"/>
    </row>
    <row r="63" spans="1:12">
      <c r="A63" s="8" t="s">
        <v>13</v>
      </c>
      <c r="B63" s="9"/>
      <c r="C63" s="9"/>
      <c r="D63" s="9"/>
      <c r="E63" s="9"/>
      <c r="F63" s="9"/>
      <c r="G63" s="9"/>
      <c r="H63" s="9"/>
      <c r="I63" s="11"/>
      <c r="J63" s="11"/>
      <c r="K63" s="1"/>
      <c r="L63" s="1"/>
    </row>
    <row r="64" spans="1:12">
      <c r="A64" s="9"/>
      <c r="B64" s="9"/>
      <c r="C64" s="9"/>
      <c r="D64" s="9"/>
      <c r="E64" s="9"/>
      <c r="F64" s="9"/>
      <c r="G64" s="9"/>
      <c r="H64" s="9"/>
      <c r="I64" s="11"/>
      <c r="J64" s="11"/>
      <c r="K64" s="1"/>
      <c r="L64" s="1"/>
    </row>
    <row r="65" spans="1:12">
      <c r="A65" s="9" t="s">
        <v>14</v>
      </c>
      <c r="B65" s="30">
        <f>AVERAGE(B3:B37)</f>
        <v>5.508927789452004E-2</v>
      </c>
      <c r="C65" s="30" t="e">
        <f t="shared" ref="C65:L65" si="1">AVERAGE(C3:C37)</f>
        <v>#DIV/0!</v>
      </c>
      <c r="D65" s="30" t="e">
        <f t="shared" si="1"/>
        <v>#DIV/0!</v>
      </c>
      <c r="E65" s="30" t="e">
        <f t="shared" si="1"/>
        <v>#DIV/0!</v>
      </c>
      <c r="F65" s="30" t="e">
        <f t="shared" si="1"/>
        <v>#DIV/0!</v>
      </c>
      <c r="G65" s="30" t="e">
        <f>AVERAGE(G3:G37)</f>
        <v>#DIV/0!</v>
      </c>
      <c r="H65" s="30" t="e">
        <f t="shared" si="1"/>
        <v>#DIV/0!</v>
      </c>
      <c r="I65" s="30" t="e">
        <f t="shared" si="1"/>
        <v>#DIV/0!</v>
      </c>
      <c r="J65" s="30" t="e">
        <f t="shared" si="1"/>
        <v>#DIV/0!</v>
      </c>
      <c r="K65" s="30" t="e">
        <f t="shared" si="1"/>
        <v>#DIV/0!</v>
      </c>
      <c r="L65" s="30" t="e">
        <f t="shared" si="1"/>
        <v>#DIV/0!</v>
      </c>
    </row>
    <row r="66" spans="1:12">
      <c r="A66" s="9"/>
      <c r="B66" s="9"/>
      <c r="C66" s="11"/>
      <c r="D66" s="9"/>
      <c r="E66" s="9"/>
      <c r="F66" s="9"/>
      <c r="G66" s="13"/>
      <c r="H66" s="9"/>
      <c r="I66" s="11"/>
      <c r="J66" s="9"/>
      <c r="K66" s="1"/>
      <c r="L66" s="1"/>
    </row>
    <row r="67" spans="1:12">
      <c r="A67" s="9"/>
      <c r="B67" s="9"/>
      <c r="C67" s="9"/>
      <c r="D67" s="9"/>
      <c r="E67" s="9"/>
      <c r="F67" s="9"/>
      <c r="G67" s="9"/>
      <c r="H67" s="9"/>
      <c r="I67" s="9"/>
      <c r="J67" s="9"/>
      <c r="K67" s="1"/>
      <c r="L67" s="1"/>
    </row>
    <row r="68" spans="1:12">
      <c r="A68" s="9"/>
      <c r="B68" s="9"/>
      <c r="C68" s="9"/>
      <c r="D68" s="9"/>
      <c r="E68" s="9"/>
      <c r="F68" s="9"/>
      <c r="G68" s="9"/>
      <c r="H68" s="9"/>
      <c r="I68" s="9"/>
      <c r="J68" s="9"/>
      <c r="K68" s="1"/>
      <c r="L68" s="1"/>
    </row>
    <row r="69" spans="1:12">
      <c r="A69" s="9"/>
      <c r="B69" s="13"/>
      <c r="C69" s="13"/>
      <c r="D69" s="13"/>
      <c r="E69" s="13"/>
      <c r="F69" s="13"/>
      <c r="G69" s="13"/>
      <c r="H69" s="13"/>
      <c r="I69" s="13"/>
      <c r="J69" s="13"/>
      <c r="K69" s="14"/>
      <c r="L69" s="1"/>
    </row>
    <row r="70" spans="1:12">
      <c r="A70" s="9"/>
      <c r="B70" s="9"/>
      <c r="C70" s="9"/>
      <c r="D70" s="9"/>
      <c r="E70" s="9"/>
      <c r="F70" s="9"/>
      <c r="G70" s="9"/>
      <c r="H70" s="9"/>
      <c r="I70" s="9"/>
      <c r="J70" s="9"/>
      <c r="K70" s="1"/>
      <c r="L70" s="1"/>
    </row>
    <row r="71" spans="1:12">
      <c r="A71" s="9"/>
      <c r="B71" s="9"/>
      <c r="C71" s="9"/>
      <c r="D71" s="9"/>
      <c r="E71" s="9"/>
      <c r="F71" s="9"/>
      <c r="G71" s="9"/>
      <c r="H71" s="9"/>
      <c r="I71" s="9"/>
      <c r="J71" s="9"/>
      <c r="K71" s="1"/>
      <c r="L71" s="1"/>
    </row>
    <row r="72" spans="1:12">
      <c r="A72" s="9"/>
      <c r="B72" s="13">
        <f>AVERAGE(B3:L37)</f>
        <v>5.508927789452004E-2</v>
      </c>
      <c r="C72" s="9"/>
      <c r="D72" s="13"/>
      <c r="E72" s="9"/>
      <c r="F72" s="9"/>
      <c r="G72" s="9"/>
      <c r="H72" s="9"/>
      <c r="I72" s="9"/>
      <c r="J72" s="9"/>
      <c r="K72" s="1"/>
      <c r="L72" s="1"/>
    </row>
    <row r="73" spans="1:12">
      <c r="A73" s="8" t="s">
        <v>15</v>
      </c>
      <c r="B73" s="9"/>
      <c r="C73" s="13"/>
      <c r="D73" s="9"/>
      <c r="E73" s="9"/>
      <c r="F73" s="9"/>
      <c r="G73" s="9"/>
      <c r="H73" s="9"/>
      <c r="I73" s="9"/>
      <c r="J73" s="9"/>
      <c r="K73" s="1"/>
      <c r="L73" s="1"/>
    </row>
    <row r="74" spans="1:12">
      <c r="A74" s="9"/>
      <c r="B74" s="9"/>
      <c r="C74" s="9"/>
      <c r="D74" s="9"/>
      <c r="E74" s="9"/>
      <c r="F74" s="9"/>
      <c r="G74" s="9"/>
      <c r="H74" s="9"/>
      <c r="I74" s="9"/>
      <c r="J74" s="9"/>
      <c r="K74" s="1"/>
      <c r="L74" s="1"/>
    </row>
    <row r="75" spans="1:12">
      <c r="A75" s="9"/>
      <c r="B75" s="9"/>
      <c r="C75" s="9"/>
      <c r="D75" s="9"/>
      <c r="E75" s="9"/>
      <c r="F75" s="9"/>
      <c r="G75" s="9"/>
      <c r="H75" s="9"/>
      <c r="I75" s="9"/>
      <c r="J75" s="9"/>
      <c r="K75" s="1"/>
      <c r="L75" s="1"/>
    </row>
    <row r="76" spans="1:12">
      <c r="A76" s="9"/>
      <c r="B76" s="9"/>
      <c r="C76" s="9"/>
      <c r="D76" s="9"/>
      <c r="E76" s="9"/>
      <c r="F76" s="9"/>
      <c r="G76" s="9"/>
      <c r="H76" s="9"/>
      <c r="I76" s="9"/>
      <c r="J76" s="9"/>
      <c r="K76" s="1"/>
      <c r="L76" s="1"/>
    </row>
    <row r="77" spans="1:12">
      <c r="A77" s="8" t="s">
        <v>16</v>
      </c>
      <c r="B77" s="13"/>
      <c r="C77" s="13"/>
      <c r="D77" s="15">
        <f>VAR(B3:L37)</f>
        <v>2.0009467433729712E-3</v>
      </c>
      <c r="E77" s="13"/>
      <c r="F77" s="13"/>
      <c r="G77" s="13"/>
      <c r="H77" s="13"/>
      <c r="I77" s="13"/>
      <c r="J77" s="13"/>
      <c r="K77" s="14"/>
      <c r="L77" s="1"/>
    </row>
    <row r="78" spans="1:12">
      <c r="A78" s="9"/>
      <c r="B78" s="9"/>
      <c r="C78" s="9"/>
      <c r="D78" s="9"/>
      <c r="E78" s="9"/>
      <c r="F78" s="9"/>
      <c r="G78" s="9"/>
      <c r="H78" s="9"/>
      <c r="I78" s="9"/>
      <c r="J78" s="9"/>
      <c r="K78" s="1"/>
      <c r="L78" s="1"/>
    </row>
    <row r="79" spans="1:12">
      <c r="A79" s="9"/>
      <c r="B79" s="9"/>
      <c r="C79" s="9"/>
      <c r="D79" s="9"/>
      <c r="E79" s="9"/>
      <c r="F79" s="9"/>
      <c r="G79" s="9"/>
      <c r="H79" s="9"/>
      <c r="I79" s="9"/>
      <c r="J79" s="9"/>
      <c r="K79" s="1"/>
      <c r="L79" s="1"/>
    </row>
    <row r="80" spans="1:12">
      <c r="A80" s="9"/>
      <c r="B80" s="9"/>
      <c r="C80" s="9"/>
      <c r="D80" s="9"/>
      <c r="E80" s="9"/>
      <c r="F80" s="9"/>
      <c r="G80" s="9"/>
      <c r="H80" s="9"/>
      <c r="I80" s="9"/>
      <c r="J80" s="9"/>
      <c r="K80" s="1"/>
      <c r="L80" s="1"/>
    </row>
    <row r="81" spans="1:12">
      <c r="A81" s="9"/>
      <c r="B81" s="9"/>
      <c r="C81" s="9"/>
      <c r="D81" s="9"/>
      <c r="E81" s="9"/>
      <c r="F81" s="9"/>
      <c r="G81" s="9"/>
      <c r="H81" s="9"/>
      <c r="I81" s="9"/>
      <c r="J81" s="9"/>
      <c r="K81" s="9"/>
      <c r="L81" s="9"/>
    </row>
    <row r="82" spans="1:12">
      <c r="A82" s="9"/>
      <c r="B82" s="9"/>
      <c r="C82" s="9"/>
      <c r="D82" s="9"/>
      <c r="E82" s="9"/>
      <c r="F82" s="9"/>
      <c r="G82" s="9"/>
      <c r="H82" s="9"/>
      <c r="I82" s="9"/>
      <c r="J82" s="9"/>
      <c r="K82" s="9"/>
      <c r="L82" s="9"/>
    </row>
    <row r="83" spans="1:12">
      <c r="A83" s="9" t="s">
        <v>17</v>
      </c>
      <c r="B83" s="71">
        <v>1</v>
      </c>
      <c r="C83" s="9"/>
      <c r="D83" s="9"/>
      <c r="E83" s="9"/>
      <c r="F83" s="9"/>
      <c r="G83" s="9"/>
      <c r="H83" s="9"/>
      <c r="I83" s="9"/>
      <c r="J83" s="9"/>
      <c r="K83" s="9"/>
      <c r="L83" s="9"/>
    </row>
    <row r="84" spans="1:12">
      <c r="A84" s="9"/>
      <c r="B84" s="9"/>
      <c r="C84" s="9"/>
      <c r="D84" s="9"/>
      <c r="E84" s="9"/>
      <c r="F84" s="9"/>
      <c r="G84" s="9"/>
      <c r="H84" s="9"/>
      <c r="I84" s="9"/>
      <c r="J84" s="9"/>
      <c r="K84" s="9"/>
      <c r="L84" s="9"/>
    </row>
    <row r="85" spans="1:12">
      <c r="A85" s="9"/>
      <c r="B85" s="9"/>
      <c r="C85" s="9"/>
      <c r="D85" s="9"/>
      <c r="E85" s="9"/>
      <c r="F85" s="9"/>
      <c r="G85" s="9"/>
      <c r="H85" s="9"/>
      <c r="I85" s="9"/>
      <c r="J85" s="9"/>
      <c r="K85" s="9"/>
      <c r="L85" s="9"/>
    </row>
    <row r="86" spans="1:12">
      <c r="A86" s="9" t="s">
        <v>18</v>
      </c>
      <c r="B86" s="15">
        <f>1/B53+1/B83</f>
        <v>1.25</v>
      </c>
      <c r="C86" s="15"/>
      <c r="D86" s="15"/>
      <c r="E86" s="15"/>
      <c r="F86" s="15"/>
      <c r="G86" s="15"/>
      <c r="H86" s="15"/>
      <c r="I86" s="15"/>
      <c r="J86" s="15"/>
      <c r="K86" s="15"/>
      <c r="L86" s="9"/>
    </row>
    <row r="87" spans="1:12">
      <c r="A87" s="9"/>
      <c r="B87" s="15"/>
      <c r="C87" s="15"/>
      <c r="D87" s="15"/>
      <c r="E87" s="15"/>
      <c r="F87" s="15"/>
      <c r="G87" s="15"/>
      <c r="H87" s="15"/>
      <c r="I87" s="15"/>
      <c r="J87" s="15"/>
      <c r="K87" s="15"/>
      <c r="L87" s="9"/>
    </row>
    <row r="88" spans="1:12">
      <c r="A88" s="9"/>
      <c r="B88" s="15"/>
      <c r="C88" s="15"/>
      <c r="D88" s="15"/>
      <c r="E88" s="15"/>
      <c r="F88" s="15"/>
      <c r="G88" s="15"/>
      <c r="H88" s="15"/>
      <c r="I88" s="15"/>
      <c r="J88" s="15"/>
      <c r="K88" s="15"/>
      <c r="L88" s="9"/>
    </row>
    <row r="89" spans="1:12">
      <c r="A89" s="9"/>
      <c r="B89" s="15"/>
      <c r="C89" s="15"/>
      <c r="D89" s="15"/>
      <c r="E89" s="15"/>
      <c r="F89" s="15"/>
      <c r="G89" s="15"/>
      <c r="H89" s="15"/>
      <c r="I89" s="15"/>
      <c r="J89" s="15"/>
      <c r="K89" s="15"/>
      <c r="L89" s="9"/>
    </row>
    <row r="90" spans="1:12">
      <c r="A90" s="9" t="s">
        <v>19</v>
      </c>
      <c r="B90" s="15">
        <f>D77*B86</f>
        <v>2.5011834292162139E-3</v>
      </c>
      <c r="C90" s="15"/>
      <c r="D90" s="15"/>
      <c r="E90" s="15"/>
      <c r="F90" s="15"/>
      <c r="G90" s="15"/>
      <c r="H90" s="15"/>
      <c r="I90" s="15"/>
      <c r="J90" s="15"/>
      <c r="K90" s="15"/>
      <c r="L90" s="9"/>
    </row>
    <row r="91" spans="1:12">
      <c r="A91" s="9"/>
      <c r="B91" s="9"/>
      <c r="C91" s="9"/>
      <c r="D91" s="9"/>
      <c r="E91" s="9"/>
      <c r="F91" s="9"/>
      <c r="G91" s="9"/>
      <c r="H91" s="9"/>
      <c r="I91" s="9"/>
      <c r="J91" s="9"/>
      <c r="K91" s="9"/>
      <c r="L91" s="9"/>
    </row>
    <row r="92" spans="1:12">
      <c r="A92" s="9"/>
      <c r="B92" s="9"/>
      <c r="C92" s="9"/>
      <c r="D92" s="9"/>
      <c r="E92" s="9"/>
      <c r="F92" s="9"/>
      <c r="G92" s="9"/>
      <c r="H92" s="9"/>
      <c r="I92" s="9"/>
      <c r="J92" s="9"/>
      <c r="K92" s="9"/>
      <c r="L92" s="9"/>
    </row>
    <row r="93" spans="1:12">
      <c r="A93" s="9"/>
      <c r="B93" s="9"/>
      <c r="C93" s="9"/>
      <c r="D93" s="9"/>
      <c r="E93" s="9"/>
      <c r="F93" s="9"/>
      <c r="G93" s="9"/>
      <c r="H93" s="9"/>
      <c r="I93" s="9"/>
      <c r="J93" s="9"/>
      <c r="K93" s="9"/>
      <c r="L93" s="9"/>
    </row>
    <row r="94" spans="1:12">
      <c r="A94" s="9"/>
      <c r="B94" s="9"/>
      <c r="C94" s="9"/>
      <c r="D94" s="9"/>
      <c r="E94" s="9"/>
      <c r="F94" s="9"/>
      <c r="G94" s="9"/>
      <c r="H94" s="9"/>
      <c r="I94" s="9"/>
      <c r="J94" s="9"/>
      <c r="K94" s="1"/>
      <c r="L94" s="1"/>
    </row>
    <row r="95" spans="1:12">
      <c r="A95" s="9"/>
      <c r="B95" s="9"/>
      <c r="C95" s="9"/>
      <c r="D95" s="9"/>
      <c r="E95" s="9"/>
      <c r="F95" s="9"/>
      <c r="G95" s="9"/>
      <c r="H95" s="9"/>
      <c r="I95" s="9"/>
      <c r="J95" s="9"/>
      <c r="K95" s="1"/>
      <c r="L95" s="1"/>
    </row>
    <row r="96" spans="1:12">
      <c r="A96" s="8" t="s">
        <v>20</v>
      </c>
      <c r="B96" s="9"/>
      <c r="C96" s="9">
        <f>SQRT(B90)</f>
        <v>5.0011832891988808E-2</v>
      </c>
      <c r="D96" s="9"/>
      <c r="E96" s="9"/>
      <c r="F96" s="9"/>
      <c r="G96" s="9"/>
      <c r="H96" s="9"/>
      <c r="I96" s="9"/>
      <c r="J96" s="9"/>
      <c r="K96" s="1"/>
      <c r="L96" s="1"/>
    </row>
    <row r="97" spans="1:12">
      <c r="A97" s="9"/>
      <c r="B97" s="9"/>
      <c r="C97" s="9"/>
      <c r="D97" s="9"/>
      <c r="E97" s="9"/>
      <c r="F97" s="9"/>
      <c r="G97" s="9"/>
      <c r="H97" s="9"/>
      <c r="I97" s="9"/>
      <c r="J97" s="9"/>
      <c r="K97" s="9"/>
      <c r="L97" s="9"/>
    </row>
    <row r="98" spans="1:12">
      <c r="A98" s="9"/>
      <c r="B98" s="9"/>
      <c r="C98" s="9"/>
      <c r="D98" s="9"/>
      <c r="E98" s="9"/>
      <c r="F98" s="9"/>
      <c r="G98" s="9"/>
      <c r="H98" s="9"/>
      <c r="I98" s="9"/>
      <c r="J98" s="9"/>
      <c r="K98" s="9"/>
      <c r="L98" s="9"/>
    </row>
    <row r="99" spans="1:12">
      <c r="A99" s="8" t="s">
        <v>21</v>
      </c>
      <c r="B99" s="9"/>
      <c r="C99" s="9"/>
      <c r="D99" s="9"/>
      <c r="E99" s="9"/>
      <c r="F99" s="9"/>
      <c r="G99" s="9"/>
      <c r="H99" s="9"/>
      <c r="I99" s="9"/>
      <c r="J99" s="9"/>
      <c r="K99" s="9"/>
      <c r="L99" s="9"/>
    </row>
    <row r="100" spans="1:12">
      <c r="A100" s="9"/>
      <c r="B100" s="9"/>
      <c r="C100" s="9"/>
      <c r="D100" s="9"/>
      <c r="E100" s="9"/>
      <c r="F100" s="9"/>
      <c r="G100" s="9"/>
      <c r="H100" s="9"/>
      <c r="I100" s="9"/>
      <c r="J100" s="9"/>
      <c r="K100" s="9"/>
      <c r="L100" s="9"/>
    </row>
    <row r="101" spans="1:12">
      <c r="A101" s="9"/>
      <c r="B101" s="9"/>
      <c r="C101" s="9"/>
      <c r="D101" s="9"/>
      <c r="E101" s="9"/>
      <c r="F101" s="9"/>
      <c r="G101" s="9"/>
      <c r="H101" s="9"/>
      <c r="I101" s="9"/>
      <c r="J101" s="9"/>
      <c r="K101" s="9"/>
      <c r="L101" s="9"/>
    </row>
    <row r="102" spans="1:12">
      <c r="A102" s="9" t="s">
        <v>22</v>
      </c>
      <c r="B102" s="16" t="s">
        <v>23</v>
      </c>
      <c r="C102" s="9"/>
      <c r="D102" s="9"/>
      <c r="E102" s="9"/>
      <c r="F102" s="9"/>
      <c r="G102" s="9"/>
      <c r="H102" s="8">
        <f>TINV(2*0.01,B58)</f>
        <v>4.5407028585681335</v>
      </c>
      <c r="I102" s="9"/>
      <c r="J102" s="9"/>
      <c r="K102" s="10"/>
      <c r="L102" s="9"/>
    </row>
    <row r="103" spans="1:12">
      <c r="A103" s="9"/>
      <c r="B103" s="9"/>
      <c r="C103" s="9"/>
      <c r="D103" s="9"/>
      <c r="E103" s="9"/>
      <c r="F103" s="9"/>
      <c r="G103" s="9"/>
      <c r="H103" s="9"/>
      <c r="I103" s="9"/>
      <c r="J103" s="9"/>
      <c r="K103" s="9"/>
      <c r="L103" s="9"/>
    </row>
    <row r="104" spans="1:12">
      <c r="A104" s="9"/>
      <c r="B104" s="9"/>
      <c r="C104" s="9"/>
      <c r="D104" s="9"/>
      <c r="E104" s="9"/>
      <c r="F104" s="9"/>
      <c r="G104" s="9"/>
      <c r="H104" s="9"/>
      <c r="I104" s="9"/>
      <c r="J104" s="9"/>
      <c r="K104" s="9"/>
      <c r="L104" s="9"/>
    </row>
    <row r="105" spans="1:12">
      <c r="A105" s="471" t="s">
        <v>26</v>
      </c>
      <c r="B105" s="471"/>
      <c r="C105" s="471"/>
      <c r="D105" s="471"/>
      <c r="E105" s="471"/>
      <c r="F105" s="471"/>
      <c r="G105" s="471"/>
      <c r="H105" s="471"/>
      <c r="I105" s="471"/>
      <c r="J105" s="471"/>
      <c r="K105" s="9"/>
      <c r="L105" s="9"/>
    </row>
    <row r="106" spans="1:12">
      <c r="A106" s="9"/>
      <c r="B106" s="9"/>
      <c r="C106" s="9"/>
      <c r="D106" s="9"/>
      <c r="E106" s="9"/>
      <c r="F106" s="9"/>
      <c r="G106" s="9"/>
      <c r="H106" s="9"/>
      <c r="I106" s="9"/>
      <c r="J106" s="9"/>
      <c r="K106" s="9"/>
      <c r="L106" s="9"/>
    </row>
    <row r="107" spans="1:12">
      <c r="A107" s="472" t="s">
        <v>27</v>
      </c>
      <c r="B107" s="472"/>
      <c r="C107" s="472"/>
      <c r="D107" s="472"/>
      <c r="E107" s="472"/>
      <c r="F107" s="472"/>
      <c r="G107" s="472"/>
      <c r="H107" s="472"/>
      <c r="I107" s="9"/>
      <c r="J107" s="9">
        <f>B53</f>
        <v>4</v>
      </c>
      <c r="K107" s="1"/>
      <c r="L107" s="1"/>
    </row>
    <row r="108" spans="1:12">
      <c r="A108" s="9"/>
      <c r="B108" s="9"/>
      <c r="C108" s="9"/>
      <c r="D108" s="9"/>
      <c r="E108" s="9"/>
      <c r="F108" s="9"/>
      <c r="G108" s="9"/>
      <c r="H108" s="9"/>
      <c r="I108" s="9"/>
      <c r="J108" s="9"/>
      <c r="K108" s="1"/>
      <c r="L108" s="1"/>
    </row>
    <row r="109" spans="1:12">
      <c r="A109" s="472" t="s">
        <v>28</v>
      </c>
      <c r="B109" s="472"/>
      <c r="C109" s="472"/>
      <c r="D109" s="472"/>
      <c r="E109" s="472"/>
      <c r="F109" s="472"/>
      <c r="G109" s="472"/>
      <c r="H109" s="472"/>
      <c r="J109">
        <f>1/(1+$H$102^2/($J$107-1))</f>
        <v>0.12702185745016017</v>
      </c>
    </row>
    <row r="114" spans="1:7">
      <c r="B114" s="465" t="s">
        <v>29</v>
      </c>
      <c r="C114" s="465"/>
      <c r="E114" s="41">
        <f>1-'Calculations for Template'!J139</f>
        <v>0.97842535386412788</v>
      </c>
    </row>
    <row r="115" spans="1:7">
      <c r="A115" s="39" t="s">
        <v>30</v>
      </c>
      <c r="B115" s="464" t="str">
        <f>IF( ABS((Recalculations1!J143) -0.01)&lt;0.0001, "Confidence Level is 99%","Confidence Level is not 99%, Go to recalculate tab to fix the Confidence Level")</f>
        <v>Confidence Level is not 99%, Go to recalculate tab to fix the Confidence Level</v>
      </c>
      <c r="C115" s="464"/>
      <c r="D115" s="464"/>
      <c r="E115" s="464"/>
      <c r="F115" s="464"/>
      <c r="G115" s="464"/>
    </row>
    <row r="117" spans="1:7">
      <c r="B117" s="39" t="s">
        <v>175</v>
      </c>
      <c r="C117" s="39"/>
      <c r="D117" s="39"/>
      <c r="E117" s="40">
        <v>0.41</v>
      </c>
    </row>
    <row r="119" spans="1:7">
      <c r="B119" s="465" t="s">
        <v>31</v>
      </c>
      <c r="C119" s="465"/>
      <c r="D119" s="465"/>
      <c r="E119" s="40">
        <v>6.1807028584215038</v>
      </c>
    </row>
    <row r="122" spans="1:7">
      <c r="A122" s="42" t="s">
        <v>32</v>
      </c>
      <c r="B122" s="42"/>
      <c r="C122" s="42"/>
      <c r="D122" s="42"/>
      <c r="E122" s="72">
        <f>B72+C96*E119</f>
        <v>0.3641975564049339</v>
      </c>
    </row>
  </sheetData>
  <mergeCells count="8">
    <mergeCell ref="B119:D119"/>
    <mergeCell ref="B1:L1"/>
    <mergeCell ref="A105:J105"/>
    <mergeCell ref="A107:H107"/>
    <mergeCell ref="A109:H109"/>
    <mergeCell ref="B114:C114"/>
    <mergeCell ref="B115:G115"/>
    <mergeCell ref="E41:O41"/>
  </mergeCells>
  <pageMargins left="0.7" right="0.7" top="0.75" bottom="0.75" header="0.3" footer="0.3"/>
  <pageSetup scale="70" orientation="landscape" r:id="rId1"/>
  <drawing r:id="rId2"/>
  <legacyDrawing r:id="rId3"/>
  <oleObjects>
    <oleObject progId="Equation.DSMT4" shapeId="5121" r:id="rId4"/>
    <oleObject progId="Equation.DSMT4" shapeId="5122" r:id="rId5"/>
    <oleObject progId="Equation.DSMT4" shapeId="5123" r:id="rId6"/>
    <oleObject progId="Equation.DSMT4" shapeId="5124" r:id="rId7"/>
    <oleObject progId="Equation.DSMT4" shapeId="5125" r:id="rId8"/>
    <oleObject progId="Equation.DSMT4" shapeId="5126" r:id="rId9"/>
    <oleObject progId="Equation.DSMT4" shapeId="5127" r:id="rId10"/>
    <oleObject progId="Equation.DSMT4" shapeId="5128" r:id="rId11"/>
    <oleObject progId="Equation.DSMT4" shapeId="5129" r:id="rId12"/>
    <oleObject progId="Equation.DSMT4" shapeId="5130" r:id="rId13"/>
    <oleObject progId="Equation.DSMT4" shapeId="5131" r:id="rId14"/>
  </oleObjects>
</worksheet>
</file>

<file path=xl/worksheets/sheet8.xml><?xml version="1.0" encoding="utf-8"?>
<worksheet xmlns="http://schemas.openxmlformats.org/spreadsheetml/2006/main" xmlns:r="http://schemas.openxmlformats.org/officeDocument/2006/relationships">
  <sheetPr>
    <tabColor rgb="FF00B050"/>
  </sheetPr>
  <dimension ref="A3:AM139"/>
  <sheetViews>
    <sheetView workbookViewId="0"/>
  </sheetViews>
  <sheetFormatPr defaultRowHeight="15"/>
  <cols>
    <col min="3" max="3" width="12" bestFit="1" customWidth="1"/>
    <col min="11" max="11" width="12" bestFit="1" customWidth="1"/>
    <col min="18" max="18" width="12" bestFit="1" customWidth="1"/>
    <col min="24" max="24" width="12" bestFit="1" customWidth="1"/>
  </cols>
  <sheetData>
    <row r="3" spans="1:8">
      <c r="A3" s="488" t="s">
        <v>40</v>
      </c>
      <c r="B3" s="488"/>
      <c r="C3" s="488"/>
      <c r="D3" s="488"/>
      <c r="E3" s="488"/>
      <c r="F3" s="488"/>
      <c r="G3" s="488"/>
      <c r="H3" s="488"/>
    </row>
    <row r="5" spans="1:8">
      <c r="A5" s="47" t="s">
        <v>41</v>
      </c>
      <c r="B5" s="47"/>
      <c r="C5" s="47"/>
      <c r="D5" s="47"/>
      <c r="E5" s="47"/>
      <c r="F5" s="47"/>
      <c r="G5" s="47"/>
      <c r="H5" s="47"/>
    </row>
    <row r="9" spans="1:8">
      <c r="A9" s="48" t="s">
        <v>42</v>
      </c>
    </row>
    <row r="12" spans="1:8">
      <c r="A12" s="39" t="s">
        <v>43</v>
      </c>
      <c r="F12" t="s">
        <v>44</v>
      </c>
      <c r="H12" s="65">
        <f>'Template_nonnormal '!B44</f>
        <v>0.38755049291912408</v>
      </c>
    </row>
    <row r="14" spans="1:8">
      <c r="A14" s="39" t="s">
        <v>45</v>
      </c>
      <c r="C14">
        <f>'Template_nonnormal '!$J$109</f>
        <v>0.12702185745016017</v>
      </c>
      <c r="F14" t="s">
        <v>46</v>
      </c>
      <c r="H14" s="64">
        <f>'Template_nonnormal '!B41</f>
        <v>-3.423662562692245</v>
      </c>
    </row>
    <row r="16" spans="1:8">
      <c r="A16" s="39" t="s">
        <v>47</v>
      </c>
      <c r="C16">
        <f>'Template_nonnormal '!$J$107</f>
        <v>4</v>
      </c>
    </row>
    <row r="18" spans="1:39">
      <c r="A18" t="s">
        <v>48</v>
      </c>
      <c r="C18">
        <f>'Template_nonnormal '!H102</f>
        <v>4.5407028585681335</v>
      </c>
    </row>
    <row r="20" spans="1:39">
      <c r="A20" s="488" t="s">
        <v>49</v>
      </c>
      <c r="B20" s="488"/>
      <c r="I20" s="488" t="s">
        <v>50</v>
      </c>
      <c r="J20" s="488"/>
      <c r="P20" s="488" t="s">
        <v>51</v>
      </c>
      <c r="Q20" s="488"/>
      <c r="V20" s="488" t="s">
        <v>52</v>
      </c>
      <c r="W20" s="488"/>
      <c r="AB20" s="488" t="s">
        <v>53</v>
      </c>
      <c r="AC20" s="488"/>
      <c r="AI20" s="488" t="s">
        <v>169</v>
      </c>
      <c r="AJ20" s="488"/>
    </row>
    <row r="22" spans="1:39">
      <c r="A22" s="39" t="s">
        <v>54</v>
      </c>
      <c r="B22">
        <f>($C$16-1)/2</f>
        <v>1.5</v>
      </c>
      <c r="I22" s="39" t="s">
        <v>54</v>
      </c>
      <c r="J22">
        <f>($C$16+1)/2</f>
        <v>2.5</v>
      </c>
      <c r="P22" s="39" t="s">
        <v>54</v>
      </c>
      <c r="Q22">
        <f>($C$16+3)/2</f>
        <v>3.5</v>
      </c>
      <c r="V22" s="39" t="s">
        <v>54</v>
      </c>
      <c r="W22">
        <f>($C$16+3)/2</f>
        <v>3.5</v>
      </c>
      <c r="AB22" s="39" t="s">
        <v>54</v>
      </c>
      <c r="AC22">
        <f>($C$16-1)/2</f>
        <v>1.5</v>
      </c>
      <c r="AI22" s="39" t="s">
        <v>54</v>
      </c>
      <c r="AJ22">
        <f>($C$16+1)/2</f>
        <v>2.5</v>
      </c>
    </row>
    <row r="24" spans="1:39">
      <c r="A24" s="39" t="s">
        <v>55</v>
      </c>
      <c r="B24">
        <f>1/2</f>
        <v>0.5</v>
      </c>
      <c r="C24" s="49"/>
      <c r="I24" s="39" t="s">
        <v>55</v>
      </c>
      <c r="J24">
        <f>1/2</f>
        <v>0.5</v>
      </c>
      <c r="P24" s="39" t="s">
        <v>55</v>
      </c>
      <c r="Q24">
        <f>1/2</f>
        <v>0.5</v>
      </c>
      <c r="V24" s="39" t="s">
        <v>55</v>
      </c>
      <c r="W24">
        <f>1/2</f>
        <v>0.5</v>
      </c>
      <c r="AB24" s="39" t="s">
        <v>55</v>
      </c>
      <c r="AC24">
        <v>1</v>
      </c>
      <c r="AI24" s="39" t="s">
        <v>55</v>
      </c>
      <c r="AJ24">
        <v>1</v>
      </c>
    </row>
    <row r="25" spans="1:39">
      <c r="A25" s="50"/>
      <c r="B25" s="50"/>
      <c r="C25" s="51"/>
      <c r="I25" s="50"/>
      <c r="J25" s="50"/>
      <c r="P25" s="50"/>
      <c r="Q25" s="50"/>
      <c r="V25" s="50"/>
      <c r="W25" s="50"/>
      <c r="AB25" s="50"/>
      <c r="AC25" s="50"/>
      <c r="AI25" s="50"/>
      <c r="AJ25" s="50"/>
    </row>
    <row r="26" spans="1:39">
      <c r="A26" s="39" t="s">
        <v>56</v>
      </c>
      <c r="B26" s="50">
        <f>B24*($C$14/(1-$C$14))</f>
        <v>7.2752026230088723E-2</v>
      </c>
      <c r="C26" s="51"/>
      <c r="I26" s="39" t="s">
        <v>56</v>
      </c>
      <c r="J26" s="50">
        <f>J24*($C$14/(1-$C$14))</f>
        <v>7.2752026230088723E-2</v>
      </c>
      <c r="P26" s="39" t="s">
        <v>56</v>
      </c>
      <c r="Q26" s="50">
        <f>Q24*($C$14/(1-$C$14))</f>
        <v>7.2752026230088723E-2</v>
      </c>
      <c r="V26" s="39" t="s">
        <v>56</v>
      </c>
      <c r="W26" s="50">
        <f>W24*($C$14/(1-$C$14))</f>
        <v>7.2752026230088723E-2</v>
      </c>
      <c r="AB26" s="39" t="s">
        <v>56</v>
      </c>
      <c r="AC26" s="50">
        <f>AC24*($C$14/(1-$C$14))</f>
        <v>0.14550405246017745</v>
      </c>
      <c r="AI26" s="39" t="s">
        <v>56</v>
      </c>
      <c r="AJ26" s="50">
        <f>AJ24*($C$14/(1-$C$14))</f>
        <v>0.14550405246017745</v>
      </c>
    </row>
    <row r="28" spans="1:39">
      <c r="A28" s="488" t="s">
        <v>57</v>
      </c>
      <c r="B28" s="488"/>
      <c r="C28" s="488"/>
      <c r="D28" s="488"/>
      <c r="E28" s="488"/>
      <c r="I28" s="488" t="s">
        <v>57</v>
      </c>
      <c r="J28" s="488"/>
      <c r="K28" s="488"/>
      <c r="L28" s="488"/>
      <c r="M28" s="488"/>
      <c r="P28" s="488" t="s">
        <v>57</v>
      </c>
      <c r="Q28" s="488"/>
      <c r="R28" s="488"/>
      <c r="S28" s="488"/>
      <c r="T28" s="488"/>
      <c r="V28" s="488" t="s">
        <v>57</v>
      </c>
      <c r="W28" s="488"/>
      <c r="X28" s="488"/>
      <c r="Y28" s="488"/>
      <c r="Z28" s="488"/>
      <c r="AB28" s="488" t="s">
        <v>57</v>
      </c>
      <c r="AC28" s="488"/>
      <c r="AD28" s="488"/>
      <c r="AE28" s="488"/>
      <c r="AF28" s="488"/>
      <c r="AI28" s="488" t="s">
        <v>57</v>
      </c>
      <c r="AJ28" s="488"/>
      <c r="AK28" s="488"/>
      <c r="AL28" s="488"/>
      <c r="AM28" s="488"/>
    </row>
    <row r="30" spans="1:39">
      <c r="A30" t="s">
        <v>58</v>
      </c>
      <c r="C30" s="52">
        <f>GAMMADIST($B$26,$B$22, 1, TRUE)</f>
        <v>1.413360457063363E-2</v>
      </c>
      <c r="I30" t="s">
        <v>59</v>
      </c>
      <c r="K30" s="52">
        <f>GAMMADIST($J$26,$J$22, 1, TRUE)</f>
        <v>4.0786873359649809E-4</v>
      </c>
      <c r="P30" t="s">
        <v>60</v>
      </c>
      <c r="R30" s="52">
        <f>GAMMADIST($Q$26,$Q$22, 1, TRUE)</f>
        <v>8.4386957376997596E-6</v>
      </c>
      <c r="V30" t="s">
        <v>61</v>
      </c>
      <c r="X30" s="52">
        <f>GAMMADIST($W$26,$W$22, 1, TRUE)</f>
        <v>8.4386957376997596E-6</v>
      </c>
      <c r="AB30" t="s">
        <v>62</v>
      </c>
      <c r="AD30" s="52">
        <f>GAMMADIST($AC$26,$AC$22, 1, TRUE)</f>
        <v>3.8289353748675176E-2</v>
      </c>
      <c r="AI30" t="s">
        <v>161</v>
      </c>
      <c r="AK30" s="52">
        <f>GAMMADIST($AJ$26,$AJ$22, 1, TRUE)</f>
        <v>2.1912136205546164E-3</v>
      </c>
    </row>
    <row r="32" spans="1:39">
      <c r="A32" t="s">
        <v>63</v>
      </c>
      <c r="C32">
        <f>EXP(GAMMALN($B$22))</f>
        <v>0.88622692539526249</v>
      </c>
      <c r="I32" t="s">
        <v>64</v>
      </c>
      <c r="K32">
        <f>EXP(GAMMALN($J$22))</f>
        <v>1.3293403880407133</v>
      </c>
      <c r="P32" t="s">
        <v>65</v>
      </c>
      <c r="R32">
        <f>EXP(GAMMALN($Q$22))</f>
        <v>3.3233509700025894</v>
      </c>
      <c r="V32" t="s">
        <v>66</v>
      </c>
      <c r="X32">
        <f>EXP(GAMMALN($W$22))</f>
        <v>3.3233509700025894</v>
      </c>
      <c r="AB32" t="s">
        <v>67</v>
      </c>
      <c r="AD32">
        <f>EXP(GAMMALN($AC$22))</f>
        <v>0.88622692539526249</v>
      </c>
      <c r="AI32" t="s">
        <v>162</v>
      </c>
      <c r="AK32">
        <f>EXP(GAMMALN($AJ$22))</f>
        <v>1.3293403880407133</v>
      </c>
    </row>
    <row r="34" spans="1:39">
      <c r="A34" t="s">
        <v>68</v>
      </c>
      <c r="C34">
        <f>EXP(-$B$26)*$B$26^$B$22/$C$32</f>
        <v>2.0588603785389289E-2</v>
      </c>
      <c r="I34" t="s">
        <v>69</v>
      </c>
      <c r="K34">
        <f>EXP(-$J$26)*$J$26^$J$22/$K$32</f>
        <v>9.9857509512956051E-4</v>
      </c>
      <c r="P34" t="s">
        <v>70</v>
      </c>
      <c r="R34">
        <f>EXP(-$Q$26)*$Q$26^$Q$22/$R$32</f>
        <v>2.905934460629902E-5</v>
      </c>
      <c r="V34" t="s">
        <v>71</v>
      </c>
      <c r="X34">
        <f>EXP(-$W$26)*$W$26^$W$22/$X$32</f>
        <v>2.905934460629902E-5</v>
      </c>
      <c r="AB34" t="s">
        <v>72</v>
      </c>
      <c r="AD34">
        <f>EXP(-$AC$26)*$AC$26^$AC$22/$AD$32</f>
        <v>5.4147210240980674E-2</v>
      </c>
      <c r="AI34" t="s">
        <v>163</v>
      </c>
      <c r="AK34">
        <f>EXP(-$AJ$26)*$AJ$26^$AJ$22/$AK$32</f>
        <v>5.2524256798567783E-3</v>
      </c>
    </row>
    <row r="37" spans="1:39">
      <c r="A37" t="s">
        <v>73</v>
      </c>
      <c r="C37">
        <f>($B$22-1-$B$26)/(2*$B$24)</f>
        <v>0.4272479737699113</v>
      </c>
      <c r="I37" t="s">
        <v>74</v>
      </c>
      <c r="K37">
        <f>($J$22-1-$J$26)/(2*$J$24)</f>
        <v>1.4272479737699113</v>
      </c>
      <c r="P37" t="s">
        <v>75</v>
      </c>
      <c r="R37">
        <f>($Q$22-1-$Q$26)/(2*$Q$24)</f>
        <v>2.4272479737699113</v>
      </c>
      <c r="V37" t="s">
        <v>76</v>
      </c>
      <c r="X37">
        <f>($W$22-1-$W$26)/(2*$W$24)</f>
        <v>2.4272479737699113</v>
      </c>
      <c r="AB37" t="s">
        <v>77</v>
      </c>
      <c r="AD37">
        <f>($AC$22-1-$AC$26)/(2*$AC$24)</f>
        <v>0.17724797376991128</v>
      </c>
      <c r="AI37" t="s">
        <v>164</v>
      </c>
      <c r="AK37">
        <f>($AJ$22-1-$AJ$26)/(2*$AJ$24)</f>
        <v>0.6772479737699113</v>
      </c>
    </row>
    <row r="39" spans="1:39">
      <c r="A39" t="s">
        <v>78</v>
      </c>
      <c r="E39">
        <f>($B$22^3/2-5*$B$22^2/3+3*$B$22/2-(1/3))</f>
        <v>-0.14583333333333331</v>
      </c>
      <c r="I39" t="s">
        <v>79</v>
      </c>
      <c r="M39">
        <f>($J$22^3/2-5*$J$22^2/3+3*$J$22/2-(1/3))</f>
        <v>0.81250000000000067</v>
      </c>
      <c r="P39" t="s">
        <v>80</v>
      </c>
      <c r="T39">
        <f>($Q$22^3/2-5*$Q$22^2/3+3*$Q$22/2-(1/3))</f>
        <v>5.9374999999999991</v>
      </c>
      <c r="V39" t="s">
        <v>81</v>
      </c>
      <c r="Z39">
        <f>($W$22^3/2-5*$W$22^2/3+3*$W$22/2-(1/3))</f>
        <v>5.9374999999999991</v>
      </c>
      <c r="AB39" t="s">
        <v>82</v>
      </c>
      <c r="AF39">
        <f>($AC$22^3/2-5*$AC$22^2/3+3*$AC$22/2-(1/3))</f>
        <v>-0.14583333333333331</v>
      </c>
      <c r="AI39" t="s">
        <v>165</v>
      </c>
      <c r="AM39">
        <f>($AJ$22^3/2-5*$AJ$22^2/3+3*$AJ$22/2-(1/3))</f>
        <v>0.81250000000000067</v>
      </c>
    </row>
    <row r="43" spans="1:39">
      <c r="A43" t="s">
        <v>83</v>
      </c>
      <c r="E43">
        <f>B26*(3*$B$22^2/2-11*$B$22/6+(1/3))</f>
        <v>6.9720691803835028E-2</v>
      </c>
      <c r="I43" t="s">
        <v>84</v>
      </c>
      <c r="M43">
        <f>$J$26*(3*$J$22^2/2-11*$J$22/6+(1/3))</f>
        <v>0.37285413442920473</v>
      </c>
      <c r="P43" t="s">
        <v>85</v>
      </c>
      <c r="T43">
        <f>$Q$26*(3*$Q$22^2/2-11*$Q$22/6+(1/3))</f>
        <v>0.89424365574484055</v>
      </c>
      <c r="V43" t="s">
        <v>86</v>
      </c>
      <c r="Z43">
        <f>$W$26*(3*$W$22^2/2-11*$W$22/6+(1/3))</f>
        <v>0.89424365574484055</v>
      </c>
      <c r="AB43" t="s">
        <v>87</v>
      </c>
      <c r="AF43">
        <f>$AC$26*(3*$AC$22^2/2-11*$AC$22/6+(1/3))</f>
        <v>0.13944138360767006</v>
      </c>
      <c r="AI43" t="s">
        <v>166</v>
      </c>
      <c r="AM43">
        <f>$AJ$26*(3*$AJ$22^2/2-11*$AJ$22/6+(1/3))</f>
        <v>0.74570826885840946</v>
      </c>
    </row>
    <row r="46" spans="1:39">
      <c r="A46" t="s">
        <v>88</v>
      </c>
      <c r="E46" s="53">
        <f>B26^2*(3*$B$22/2-(1/6))</f>
        <v>1.1026786084548997E-2</v>
      </c>
      <c r="I46" t="s">
        <v>89</v>
      </c>
      <c r="M46" s="53">
        <f>J26^2*(3*$J$22/2-(1/6))</f>
        <v>1.8966072065424274E-2</v>
      </c>
      <c r="P46" t="s">
        <v>90</v>
      </c>
      <c r="T46" s="53">
        <f>Q26^2*(3*$Q$22/2-(1/6))</f>
        <v>2.6905358046299548E-2</v>
      </c>
      <c r="V46" t="s">
        <v>91</v>
      </c>
      <c r="Z46" s="53">
        <f>W26^2*(3*$W$22/2-(1/6))</f>
        <v>2.6905358046299548E-2</v>
      </c>
      <c r="AB46" t="s">
        <v>92</v>
      </c>
      <c r="AF46" s="53">
        <f>AC26^2*(3*$AC$22/2-(1/6))</f>
        <v>4.4107144338195986E-2</v>
      </c>
      <c r="AI46" t="s">
        <v>167</v>
      </c>
      <c r="AM46" s="53">
        <f>AJ26^2*(3*$AJ$22/2-(1/6))</f>
        <v>7.5864288261697096E-2</v>
      </c>
    </row>
    <row r="50" spans="1:39">
      <c r="A50" t="s">
        <v>93</v>
      </c>
      <c r="E50" s="53">
        <f>C30/C32+C34*(C37+(1/(2*$B$24)^2)*(E39-E43+E46-B26^3/2))</f>
        <v>2.0529609929762035E-2</v>
      </c>
      <c r="I50" t="s">
        <v>94</v>
      </c>
      <c r="M50" s="53">
        <f>K30/K32+K34*(K37+(1/(2*$J$24)^2)*(M39-M43+M46-J26^3/2))</f>
        <v>2.189800869692597E-3</v>
      </c>
      <c r="P50" t="s">
        <v>95</v>
      </c>
      <c r="T50" s="53">
        <f>R30/R32+R34*(R37+(1/(2*$Q$24)^2)*(T39-T43+T46-Q26^3/2))</f>
        <v>2.2040342947249645E-4</v>
      </c>
      <c r="V50" t="s">
        <v>96</v>
      </c>
      <c r="Z50" s="53">
        <f>X30/X32+X34*(X37+(1/(2*$W$24)^2)*(Z39-Z43+Z46-W26^3/2))</f>
        <v>2.2040342947249645E-4</v>
      </c>
      <c r="AB50" t="s">
        <v>97</v>
      </c>
      <c r="AF50" s="53">
        <f>AD30/AD32+AD34*(AD37+(1/(2*$AC$24)^2)*(AF39-AF43+AF46-AC26^3/2))</f>
        <v>4.9516904325825922E-2</v>
      </c>
      <c r="AI50" t="s">
        <v>168</v>
      </c>
      <c r="AM50" s="53">
        <f>AK30/AK32+AK34*(AK37+(1/(2*$AC$24)^2)*(AM39-AM43+AM46-AJ26^3/2))</f>
        <v>5.3908411865060419E-3</v>
      </c>
    </row>
    <row r="53" spans="1:39">
      <c r="A53" t="s">
        <v>98</v>
      </c>
      <c r="F53" s="53">
        <f>(1/2)*$E$50</f>
        <v>1.0264804964881018E-2</v>
      </c>
    </row>
    <row r="57" spans="1:39">
      <c r="A57" t="s">
        <v>99</v>
      </c>
    </row>
    <row r="63" spans="1:39">
      <c r="A63" t="s">
        <v>100</v>
      </c>
      <c r="D63">
        <f>1/(6*SQRT(2*$C$16*PI()))</f>
        <v>3.3245190033452728E-2</v>
      </c>
    </row>
    <row r="67" spans="1:5">
      <c r="A67" t="s">
        <v>101</v>
      </c>
      <c r="D67">
        <f>1+(2*C16-1)*C18/(C16-1)</f>
        <v>11.594973336658979</v>
      </c>
    </row>
    <row r="71" spans="1:5">
      <c r="A71" t="s">
        <v>102</v>
      </c>
      <c r="E71">
        <f>(1+C18^2/(C16-1))^((C16+1)/2)</f>
        <v>173.90170982850756</v>
      </c>
    </row>
    <row r="75" spans="1:5">
      <c r="A75" t="s">
        <v>103</v>
      </c>
      <c r="E75">
        <f>D63*D67/E71</f>
        <v>2.2166377339830749E-3</v>
      </c>
    </row>
    <row r="79" spans="1:5">
      <c r="A79" t="s">
        <v>104</v>
      </c>
    </row>
    <row r="84" spans="1:5">
      <c r="A84" t="s">
        <v>105</v>
      </c>
      <c r="E84">
        <f>(C16-1)/(3*SQRT(2*C16*PI()))</f>
        <v>0.19947114020071635</v>
      </c>
    </row>
    <row r="88" spans="1:5">
      <c r="A88" t="s">
        <v>106</v>
      </c>
      <c r="E88">
        <f>(2*$C$16-1)/(6*SQRT(2*$C$16*PI()))</f>
        <v>0.23271633023416907</v>
      </c>
    </row>
    <row r="92" spans="1:5">
      <c r="A92" t="s">
        <v>107</v>
      </c>
      <c r="E92" s="53">
        <f>E88*AF50-E84*AM50</f>
        <v>1.0448075021149318E-2</v>
      </c>
    </row>
    <row r="95" spans="1:5">
      <c r="A95" t="s">
        <v>108</v>
      </c>
    </row>
    <row r="98" spans="1:7">
      <c r="A98" t="s">
        <v>109</v>
      </c>
      <c r="F98" s="53">
        <f>((C16-1)/24)*E50</f>
        <v>2.5662012412202544E-3</v>
      </c>
    </row>
    <row r="103" spans="1:7">
      <c r="A103" t="s">
        <v>110</v>
      </c>
      <c r="G103" s="53">
        <f>((C16-1)*(C16+2)/(12*C16))*M50</f>
        <v>8.2117532613472388E-4</v>
      </c>
    </row>
    <row r="107" spans="1:7">
      <c r="A107" t="s">
        <v>111</v>
      </c>
      <c r="G107" s="53">
        <f>((C16+4)*(C16-1)/(24*C16))*T50</f>
        <v>5.5100857368124112E-5</v>
      </c>
    </row>
    <row r="111" spans="1:7">
      <c r="A111" t="s">
        <v>103</v>
      </c>
      <c r="G111" s="53">
        <f>F98-G103+G107</f>
        <v>1.8001267724536548E-3</v>
      </c>
    </row>
    <row r="114" spans="1:7">
      <c r="A114" t="s">
        <v>112</v>
      </c>
    </row>
    <row r="119" spans="1:7">
      <c r="G119" s="53">
        <f>((C16-1)*(2*C16+5)/72)*E50</f>
        <v>1.1120205378621103E-2</v>
      </c>
    </row>
    <row r="120" spans="1:7">
      <c r="A120" t="s">
        <v>113</v>
      </c>
    </row>
    <row r="123" spans="1:7">
      <c r="G123" s="53">
        <f>((C16-1)*(2*C16^2+5*C16+8)/(24*C16))*M50</f>
        <v>4.1058766306736197E-3</v>
      </c>
    </row>
    <row r="124" spans="1:7">
      <c r="A124" t="s">
        <v>114</v>
      </c>
    </row>
    <row r="128" spans="1:7">
      <c r="A128" t="s">
        <v>115</v>
      </c>
      <c r="G128" s="53">
        <f>((C16-1)*(2*C16^2+5*C16+12)/(24*C16))*T50</f>
        <v>4.408068589449929E-4</v>
      </c>
    </row>
    <row r="132" spans="1:10">
      <c r="A132" t="s">
        <v>116</v>
      </c>
      <c r="H132" s="53">
        <f>((C16-1)*(2*C16^2+5*C16+12)/(72*C16))*Z50</f>
        <v>1.4693561964833097E-4</v>
      </c>
    </row>
    <row r="137" spans="1:10">
      <c r="A137" t="s">
        <v>107</v>
      </c>
      <c r="C137" s="53">
        <f>G119-G123+G128-H132</f>
        <v>7.3081999872441445E-3</v>
      </c>
    </row>
    <row r="139" spans="1:10">
      <c r="A139" t="s">
        <v>117</v>
      </c>
      <c r="J139" s="54">
        <f>F53+H12*E92-H14*G111+(H12^2)*C137</f>
        <v>2.1574646135872108E-2</v>
      </c>
    </row>
  </sheetData>
  <mergeCells count="13">
    <mergeCell ref="A3:H3"/>
    <mergeCell ref="A20:B20"/>
    <mergeCell ref="I20:J20"/>
    <mergeCell ref="P20:Q20"/>
    <mergeCell ref="V20:W20"/>
    <mergeCell ref="AI20:AJ20"/>
    <mergeCell ref="A28:E28"/>
    <mergeCell ref="I28:M28"/>
    <mergeCell ref="P28:T28"/>
    <mergeCell ref="V28:Z28"/>
    <mergeCell ref="AB28:AF28"/>
    <mergeCell ref="AI28:AM28"/>
    <mergeCell ref="AB20:AC20"/>
  </mergeCells>
  <pageMargins left="0.7" right="0.7" top="0.75" bottom="0.75" header="0.3" footer="0.3"/>
  <pageSetup orientation="portrait" r:id="rId1"/>
  <drawing r:id="rId2"/>
  <legacyDrawing r:id="rId3"/>
  <oleObjects>
    <oleObject progId="Equation.DSMT4" shapeId="6145" r:id="rId4"/>
    <oleObject progId="Equation.DSMT4" shapeId="6146" r:id="rId5"/>
    <oleObject progId="Equation.DSMT4" shapeId="6147" r:id="rId6"/>
    <oleObject progId="Equation.DSMT4" shapeId="6148" r:id="rId7"/>
    <oleObject progId="Equation.DSMT4" shapeId="6149" r:id="rId8"/>
    <oleObject progId="Equation.DSMT4" shapeId="6150" r:id="rId9"/>
    <oleObject progId="Equation.DSMT4" shapeId="6151" r:id="rId10"/>
    <oleObject progId="Equation.3" shapeId="6152" r:id="rId11"/>
    <oleObject progId="Equation.DSMT4" shapeId="6153" r:id="rId12"/>
    <oleObject progId="Equation.DSMT4" shapeId="6154" r:id="rId13"/>
    <oleObject progId="Equation.DSMT4" shapeId="6155" r:id="rId14"/>
    <oleObject progId="Equation.DSMT4" shapeId="6156" r:id="rId15"/>
    <oleObject progId="Equation.DSMT4" shapeId="6157" r:id="rId16"/>
    <oleObject progId="Equation.DSMT4" shapeId="6158" r:id="rId17"/>
    <oleObject progId="Equation.DSMT4" shapeId="6159" r:id="rId18"/>
    <oleObject progId="Equation.3" shapeId="6160" r:id="rId19"/>
    <oleObject progId="Equation.DSMT4" shapeId="6161" r:id="rId20"/>
    <oleObject progId="Equation.DSMT4" shapeId="6162" r:id="rId21"/>
    <oleObject progId="Equation.DSMT4" shapeId="6163" r:id="rId22"/>
    <oleObject progId="Equation.DSMT4" shapeId="6164" r:id="rId23"/>
    <oleObject progId="Equation.DSMT4" shapeId="6165" r:id="rId24"/>
    <oleObject progId="Equation.DSMT4" shapeId="6166" r:id="rId25"/>
    <oleObject progId="Equation.DSMT4" shapeId="6167" r:id="rId26"/>
    <oleObject progId="Equation.3" shapeId="6168" r:id="rId27"/>
    <oleObject progId="Equation.DSMT4" shapeId="6169" r:id="rId28"/>
    <oleObject progId="Equation.DSMT4" shapeId="6170" r:id="rId29"/>
    <oleObject progId="Equation.DSMT4" shapeId="6171" r:id="rId30"/>
    <oleObject progId="Equation.DSMT4" shapeId="6172" r:id="rId31"/>
    <oleObject progId="Equation.DSMT4" shapeId="6173" r:id="rId32"/>
    <oleObject progId="Equation.DSMT4" shapeId="6174" r:id="rId33"/>
    <oleObject progId="Equation.DSMT4" shapeId="6175" r:id="rId34"/>
    <oleObject progId="Equation.DSMT4" shapeId="6176" r:id="rId35"/>
    <oleObject progId="Equation.DSMT4" shapeId="6177" r:id="rId36"/>
    <oleObject progId="Equation.DSMT4" shapeId="6178" r:id="rId37"/>
    <oleObject progId="Equation.3" shapeId="6179" r:id="rId38"/>
    <oleObject progId="Equation.DSMT4" shapeId="6180" r:id="rId39"/>
    <oleObject progId="Equation.DSMT4" shapeId="6181" r:id="rId40"/>
    <oleObject progId="Equation.DSMT4" shapeId="6182" r:id="rId41"/>
    <oleObject progId="Equation.DSMT4" shapeId="6183" r:id="rId42"/>
    <oleObject progId="Equation.DSMT4" shapeId="6184" r:id="rId43"/>
    <oleObject progId="Equation.DSMT4" shapeId="6185" r:id="rId44"/>
    <oleObject progId="Equation.DSMT4" shapeId="6186" r:id="rId45"/>
    <oleObject progId="Equation.3" shapeId="6187" r:id="rId46"/>
    <oleObject progId="Equation.DSMT4" shapeId="6188" r:id="rId47"/>
    <oleObject progId="Equation.DSMT4" shapeId="6189" r:id="rId48"/>
    <oleObject progId="Equation.DSMT4" shapeId="6190" r:id="rId49"/>
    <oleObject progId="Equation.DSMT4" shapeId="6191" r:id="rId50"/>
    <oleObject progId="Equation.DSMT4" shapeId="6192" r:id="rId51"/>
    <oleObject progId="Equation.DSMT4" shapeId="6193" r:id="rId52"/>
    <oleObject progId="Equation.DSMT4" shapeId="6194" r:id="rId53"/>
    <oleObject progId="Equation.DSMT4" shapeId="6195" r:id="rId54"/>
    <oleObject progId="Equation.DSMT4" shapeId="6196" r:id="rId55"/>
    <oleObject progId="Equation.DSMT4" shapeId="6197" r:id="rId56"/>
    <oleObject progId="Equation.DSMT4" shapeId="6198" r:id="rId57"/>
    <oleObject progId="Equation.DSMT4" shapeId="6199" r:id="rId58"/>
    <oleObject progId="Equation.DSMT4" shapeId="6200" r:id="rId59"/>
    <oleObject progId="Equation.DSMT4" shapeId="6201" r:id="rId60"/>
    <oleObject progId="Equation.DSMT4" shapeId="6202" r:id="rId61"/>
    <oleObject progId="Equation.DSMT4" shapeId="6203" r:id="rId62"/>
    <oleObject progId="Equation.DSMT4" shapeId="6204" r:id="rId63"/>
    <oleObject progId="Equation.DSMT4" shapeId="6205" r:id="rId64"/>
    <oleObject progId="Equation.DSMT4" shapeId="6206" r:id="rId65"/>
    <oleObject progId="Equation.DSMT4" shapeId="6207" r:id="rId66"/>
    <oleObject progId="Equation.DSMT4" shapeId="6208" r:id="rId67"/>
    <oleObject progId="Equation.DSMT4" shapeId="6209" r:id="rId68"/>
  </oleObjects>
</worksheet>
</file>

<file path=xl/worksheets/sheet9.xml><?xml version="1.0" encoding="utf-8"?>
<worksheet xmlns="http://schemas.openxmlformats.org/spreadsheetml/2006/main" xmlns:r="http://schemas.openxmlformats.org/officeDocument/2006/relationships">
  <sheetPr>
    <tabColor rgb="FF00B050"/>
  </sheetPr>
  <dimension ref="A1:N19"/>
  <sheetViews>
    <sheetView workbookViewId="0">
      <selection activeCell="L5" sqref="L5"/>
    </sheetView>
  </sheetViews>
  <sheetFormatPr defaultRowHeight="15"/>
  <sheetData>
    <row r="1" spans="1:14">
      <c r="A1" s="489" t="s">
        <v>33</v>
      </c>
      <c r="B1" s="489"/>
      <c r="C1" s="489"/>
      <c r="D1" s="489"/>
      <c r="E1" s="489"/>
      <c r="G1">
        <f>'Template_nonnormal '!H102</f>
        <v>4.5407028585681335</v>
      </c>
    </row>
    <row r="2" spans="1:14">
      <c r="A2" s="43"/>
      <c r="B2" s="43"/>
      <c r="C2" s="43"/>
      <c r="D2" s="43"/>
      <c r="E2" s="43"/>
    </row>
    <row r="3" spans="1:14">
      <c r="A3" s="489" t="s">
        <v>34</v>
      </c>
      <c r="B3" s="489"/>
      <c r="C3" s="489"/>
      <c r="D3" s="489"/>
      <c r="E3" s="489"/>
      <c r="G3">
        <v>0.27</v>
      </c>
    </row>
    <row r="5" spans="1:14">
      <c r="A5" s="489" t="s">
        <v>35</v>
      </c>
      <c r="B5" s="489"/>
      <c r="C5" s="489"/>
      <c r="D5" s="489"/>
      <c r="E5" s="489"/>
      <c r="G5" s="44">
        <f>$G$1+1*$G$3</f>
        <v>4.8107028585681331</v>
      </c>
      <c r="H5" s="44">
        <f>$G$1+2*$G$3</f>
        <v>5.0807028585681335</v>
      </c>
      <c r="I5" s="44">
        <f>$G$1+3*$G$3</f>
        <v>5.350702858568134</v>
      </c>
      <c r="J5" s="44">
        <f>$G$1+4*$G$3</f>
        <v>5.6207028585681336</v>
      </c>
      <c r="K5" s="44">
        <f>$G$1+5*$G$3</f>
        <v>5.8907028585681331</v>
      </c>
      <c r="L5" s="44">
        <f>$G$1+6*$G$3</f>
        <v>6.1607028585681336</v>
      </c>
    </row>
    <row r="6" spans="1:14">
      <c r="G6" s="44"/>
      <c r="H6" s="44"/>
      <c r="I6" s="44"/>
      <c r="J6" s="44"/>
      <c r="K6" s="44"/>
      <c r="L6" s="44"/>
    </row>
    <row r="7" spans="1:14">
      <c r="A7" s="489" t="s">
        <v>36</v>
      </c>
      <c r="B7" s="489"/>
      <c r="C7" s="489"/>
      <c r="D7" s="489"/>
      <c r="E7" s="489"/>
      <c r="G7" s="44">
        <f>Recalculations1!J143</f>
        <v>1.8781437744834002E-2</v>
      </c>
      <c r="H7" s="44">
        <f>Recalculations2!J143</f>
        <v>1.6424283855875327E-2</v>
      </c>
      <c r="I7" s="44">
        <f>Recalculations3!J143</f>
        <v>1.4426421629854455E-2</v>
      </c>
      <c r="J7" s="44">
        <f>Recalculations4!J143</f>
        <v>1.2725657780242674E-2</v>
      </c>
      <c r="K7" s="44">
        <f>Recalculations5!J143</f>
        <v>1.1271469286724683E-2</v>
      </c>
      <c r="L7" s="44">
        <f>Recalculations6!J143</f>
        <v>1.0022713401247539E-2</v>
      </c>
    </row>
    <row r="8" spans="1:14">
      <c r="A8" s="43"/>
      <c r="B8" s="43"/>
      <c r="C8" s="43"/>
      <c r="D8" s="43"/>
      <c r="E8" s="43"/>
      <c r="G8" s="44"/>
      <c r="H8" s="44"/>
      <c r="I8" s="44"/>
      <c r="J8" s="44"/>
      <c r="K8" s="44"/>
      <c r="L8" s="44"/>
    </row>
    <row r="9" spans="1:14">
      <c r="A9" s="489" t="s">
        <v>37</v>
      </c>
      <c r="B9" s="489"/>
      <c r="C9" s="489"/>
      <c r="D9" s="489"/>
      <c r="E9" s="489"/>
      <c r="G9" s="45">
        <f t="shared" ref="G9:L9" si="0">1-G7</f>
        <v>0.98121856225516602</v>
      </c>
      <c r="H9" s="45">
        <f t="shared" si="0"/>
        <v>0.98357571614412465</v>
      </c>
      <c r="I9" s="45">
        <f t="shared" si="0"/>
        <v>0.98557357837014559</v>
      </c>
      <c r="J9" s="45">
        <f t="shared" si="0"/>
        <v>0.98727434221975729</v>
      </c>
      <c r="K9" s="45">
        <f t="shared" si="0"/>
        <v>0.98872853071327527</v>
      </c>
      <c r="L9" s="45">
        <f t="shared" si="0"/>
        <v>0.9899772865987525</v>
      </c>
    </row>
    <row r="10" spans="1:14">
      <c r="G10" s="44"/>
      <c r="H10" s="44"/>
      <c r="I10" s="44"/>
      <c r="J10" s="44"/>
      <c r="K10" s="44"/>
      <c r="L10" s="44"/>
    </row>
    <row r="11" spans="1:14">
      <c r="A11" s="489" t="s">
        <v>38</v>
      </c>
      <c r="B11" s="489"/>
      <c r="C11" s="489"/>
      <c r="D11" s="489"/>
      <c r="E11" s="489"/>
      <c r="G11" s="46" t="str">
        <f t="shared" ref="G11:L11" si="1">IF(ABS(G7-0.01)&lt;0.0001,"YES","NO")</f>
        <v>NO</v>
      </c>
      <c r="H11" s="46" t="str">
        <f t="shared" si="1"/>
        <v>NO</v>
      </c>
      <c r="I11" s="46" t="str">
        <f t="shared" si="1"/>
        <v>NO</v>
      </c>
      <c r="J11" s="46" t="str">
        <f t="shared" si="1"/>
        <v>NO</v>
      </c>
      <c r="K11" s="46" t="str">
        <f t="shared" si="1"/>
        <v>NO</v>
      </c>
      <c r="L11" s="46" t="str">
        <f t="shared" si="1"/>
        <v>YES</v>
      </c>
    </row>
    <row r="13" spans="1:14">
      <c r="A13" s="489" t="s">
        <v>170</v>
      </c>
      <c r="B13" s="489"/>
      <c r="C13" s="489"/>
      <c r="D13" s="489"/>
      <c r="E13" s="489"/>
      <c r="F13" s="489"/>
      <c r="G13" s="489"/>
      <c r="H13" s="489"/>
      <c r="I13" s="489"/>
      <c r="J13" s="489"/>
      <c r="K13" s="489"/>
      <c r="L13" s="489"/>
      <c r="M13" s="489"/>
      <c r="N13" s="489"/>
    </row>
    <row r="15" spans="1:14">
      <c r="A15" s="489" t="s">
        <v>39</v>
      </c>
      <c r="B15" s="489"/>
      <c r="C15" s="489"/>
      <c r="D15" s="489"/>
      <c r="E15" s="489"/>
      <c r="F15" s="489"/>
      <c r="G15" s="489"/>
      <c r="H15" s="489"/>
      <c r="I15" s="489"/>
      <c r="J15" s="489"/>
      <c r="K15" s="489"/>
      <c r="L15" s="489"/>
      <c r="M15" s="489"/>
      <c r="N15" s="489"/>
    </row>
    <row r="17" spans="1:9">
      <c r="A17" s="465" t="s">
        <v>171</v>
      </c>
      <c r="B17" s="465"/>
      <c r="C17" s="465"/>
      <c r="D17" s="465"/>
      <c r="E17" s="465"/>
      <c r="F17" s="465"/>
      <c r="G17" s="465"/>
      <c r="H17" s="465"/>
      <c r="I17" s="465"/>
    </row>
    <row r="19" spans="1:9">
      <c r="A19" s="465" t="s">
        <v>172</v>
      </c>
      <c r="B19" s="465"/>
      <c r="C19" s="465"/>
      <c r="D19" s="465"/>
      <c r="E19" s="465"/>
      <c r="F19" s="465"/>
      <c r="G19" s="465"/>
      <c r="H19" s="465"/>
      <c r="I19" s="465"/>
    </row>
  </sheetData>
  <mergeCells count="10">
    <mergeCell ref="A13:N13"/>
    <mergeCell ref="A15:N15"/>
    <mergeCell ref="A17:I17"/>
    <mergeCell ref="A19:I19"/>
    <mergeCell ref="A1:E1"/>
    <mergeCell ref="A3:E3"/>
    <mergeCell ref="A5:E5"/>
    <mergeCell ref="A7:E7"/>
    <mergeCell ref="A9:E9"/>
    <mergeCell ref="A11:E11"/>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fPM_min</vt:lpstr>
      <vt:lpstr>fPM_Variability</vt:lpstr>
      <vt:lpstr>fPM_Oil_New_Template_nonnormal</vt:lpstr>
      <vt:lpstr>QA_Calcs</vt:lpstr>
      <vt:lpstr>Intstructions</vt:lpstr>
      <vt:lpstr>Step 5. Instructions</vt:lpstr>
      <vt:lpstr>Template_nonnormal </vt:lpstr>
      <vt:lpstr>Calculations for Template</vt:lpstr>
      <vt:lpstr>Recalculate t-stat</vt:lpstr>
      <vt:lpstr>Recalculations1</vt:lpstr>
      <vt:lpstr>Recalculations2</vt:lpstr>
      <vt:lpstr>Recalculations3</vt:lpstr>
      <vt:lpstr>Recalculations4</vt:lpstr>
      <vt:lpstr>Recalculations5</vt:lpstr>
      <vt:lpstr>Recalculations6</vt:lpstr>
      <vt:lpstr>Promulgated_Data</vt:lpstr>
      <vt:lpstr>1588_PartII</vt:lpstr>
      <vt:lpstr>Port_Everglades_PPE03_Runs</vt:lpstr>
      <vt:lpstr>UPL Pooled Template </vt:lpstr>
      <vt:lpstr>Lognormal Template</vt:lpstr>
      <vt:lpstr>A00</vt:lpstr>
    </vt:vector>
  </TitlesOfParts>
  <Company>RTI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cbi</dc:creator>
  <cp:lastModifiedBy>BMAXWELL</cp:lastModifiedBy>
  <cp:lastPrinted>2012-05-15T17:19:42Z</cp:lastPrinted>
  <dcterms:created xsi:type="dcterms:W3CDTF">2011-09-22T17:07:49Z</dcterms:created>
  <dcterms:modified xsi:type="dcterms:W3CDTF">2012-11-19T13:13:37Z</dcterms:modified>
</cp:coreProperties>
</file>