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736" yWindow="63956" windowWidth="32860" windowHeight="15400" tabRatio="911" activeTab="0"/>
  </bookViews>
  <sheets>
    <sheet name="Overview of Total Costs" sheetId="1" r:id="rId1"/>
    <sheet name="Public Education" sheetId="2" r:id="rId2"/>
    <sheet name="Public Participation" sheetId="3" r:id="rId3"/>
    <sheet name="Good Housekeeping" sheetId="4" r:id="rId4"/>
    <sheet name="NOI" sheetId="5" r:id="rId5"/>
    <sheet name="SWMP" sheetId="6" r:id="rId6"/>
    <sheet name="IDDE" sheetId="7" r:id="rId7"/>
    <sheet name="Construction Site Control" sheetId="8" r:id="rId8"/>
    <sheet name="Post Construction Site Control" sheetId="9" r:id="rId9"/>
    <sheet name="Annual Report" sheetId="10" r:id="rId10"/>
    <sheet name="Miscellaneous" sheetId="11" r:id="rId11"/>
    <sheet name="MS4 Stats" sheetId="12" r:id="rId12"/>
    <sheet name="WQ Analysis Costs" sheetId="13" r:id="rId13"/>
    <sheet name="Cost Scaling Considerations" sheetId="14" r:id="rId14"/>
  </sheets>
  <definedNames>
    <definedName name="_xlnm.Print_Area" localSheetId="6">'IDDE'!$A$1:$Z$81</definedName>
    <definedName name="_xlnm.Print_Titles" localSheetId="6">'IDDE'!$26:$28</definedName>
  </definedNames>
  <calcPr fullCalcOnLoad="1"/>
</workbook>
</file>

<file path=xl/sharedStrings.xml><?xml version="1.0" encoding="utf-8"?>
<sst xmlns="http://schemas.openxmlformats.org/spreadsheetml/2006/main" count="1546" uniqueCount="651">
  <si>
    <t>No.</t>
  </si>
  <si>
    <t>Reference</t>
  </si>
  <si>
    <t>Admin</t>
  </si>
  <si>
    <t>Illicit Discharge Detection and Elimination Requirement</t>
  </si>
  <si>
    <t>2.3.4.3</t>
  </si>
  <si>
    <t>2.3.4.4 b</t>
  </si>
  <si>
    <t>2.3.4.4 c</t>
  </si>
  <si>
    <t>2.3.4.6</t>
  </si>
  <si>
    <t>2.3.4.6 a i</t>
  </si>
  <si>
    <t>2.3.4.6 a ii</t>
  </si>
  <si>
    <t>2.3.4.6 a iii</t>
  </si>
  <si>
    <t>2.3.4.6 b</t>
  </si>
  <si>
    <t>2.3.4.6 c</t>
  </si>
  <si>
    <t>2.3.4.7</t>
  </si>
  <si>
    <t>2.3.4.7 b</t>
  </si>
  <si>
    <t>*In a minimum of 80% of the MS4 area serviced by Problem Catchments within 3 years and 100% within 5 years</t>
  </si>
  <si>
    <t>*For all catchments where  sampling indicates sewer input within 5 years </t>
  </si>
  <si>
    <t>*In 40% of all area served by  all MS4 catchments within 5 years and in 100% of 4 area in 10 years</t>
  </si>
  <si>
    <t>2.3.4.8 c iii</t>
  </si>
  <si>
    <t>2.3.4.10</t>
  </si>
  <si>
    <t>Construction Site Runoff Control Requirement</t>
  </si>
  <si>
    <t>Post Construction Site Runoff Control Requirement</t>
  </si>
  <si>
    <t>2.3.6 a ii</t>
  </si>
  <si>
    <t>2.3.6 a iii</t>
  </si>
  <si>
    <t>2.3.6 b</t>
  </si>
  <si>
    <t>2.3.6 c</t>
  </si>
  <si>
    <t>Miscellaneous Requirement</t>
  </si>
  <si>
    <t>1.9.1</t>
  </si>
  <si>
    <t>1.9.2</t>
  </si>
  <si>
    <t>Type of Action</t>
  </si>
  <si>
    <t>1.7.2</t>
  </si>
  <si>
    <t>90 days</t>
  </si>
  <si>
    <t>Time from Effective Date</t>
  </si>
  <si>
    <t>Prepare and Submit NOI</t>
  </si>
  <si>
    <t>Appendix C. B.1. Step 1</t>
  </si>
  <si>
    <t>Appendix C. B.1. Step 2</t>
  </si>
  <si>
    <t>Step 1 - Complete Information, Planning and Conservation (IPaC) online system process to determine if federally listed species or designated critical habitats are present in the area. If not present (i.e., meet Criterion A), skip to Step 4, otherwise go to Step 2.</t>
  </si>
  <si>
    <t>Appendix C. B.1. Step 3</t>
  </si>
  <si>
    <t xml:space="preserve">Step 2A - Review potential impacts of discharges to species/habitats to determine if your discharges have "no affect", "may affect" or are "not likely to adversely affect" species/habitat. If you determine "may affect" or "not likely to adversely affect", go to Step 2B, otherwise go to Step 3. </t>
  </si>
  <si>
    <t>Step 3 - If you determined there would be "no affect" on listed species, contact EPA to obtain concurrence with that determination. If they concur, agree to conduct an endangered species screening for proposed structural BMPs and contact USFWS as appropriate (e.g., new activity "may affect" or is "not likely to adversely affect"). If these conditions are met, you meet Criterion C and go to Step 4. Any other scenarios are not eligible for coverage under the MS4.</t>
  </si>
  <si>
    <t>Step 4 - Include documentation of USFWS ESA eligibility in the SWMP.</t>
  </si>
  <si>
    <t>Appendix C. B.1. Step 4</t>
  </si>
  <si>
    <t>Technical</t>
  </si>
  <si>
    <t>Document Historic Properties Preservation</t>
  </si>
  <si>
    <t>Document Endangered Species</t>
  </si>
  <si>
    <t>Appendix D, Screening Process, Question 1</t>
  </si>
  <si>
    <t>Q1 - If the facility is an existing facility authorized by the previous permit or a new facility not undertaking any activity involving subsurface land disturbance less than an acre, then certify that fact in writing and file the statement with the EPA, otherwise go to Q2.</t>
  </si>
  <si>
    <t>Appendix D, Screening Process, Question 2</t>
  </si>
  <si>
    <t>Q2A - Review National Register of Historic Places. If no properties listed, or discharges do not have the potential to cause effects on historic properties, then certify that fact in writing and file the statement with the EPA, otherwise go to Q2B.</t>
  </si>
  <si>
    <t>Q2B - Initiate request for project review by SHPO - prepare Completed Project Notification Form, USGS map with area of concern, Scaled project plans showing existing and proposed conditions, photos where available. Include description of measures/conditions to be taken to avoid or minimize adverse impacts where applicable.</t>
  </si>
  <si>
    <t>1.1.1</t>
  </si>
  <si>
    <t>1.1.2</t>
  </si>
  <si>
    <t>1.1.3</t>
  </si>
  <si>
    <t>1.1.4</t>
  </si>
  <si>
    <t>1.2.1</t>
  </si>
  <si>
    <t>1.2.2</t>
  </si>
  <si>
    <t>1.1.5</t>
  </si>
  <si>
    <t>1.2.3</t>
  </si>
  <si>
    <t>Notes</t>
  </si>
  <si>
    <t>1 year</t>
  </si>
  <si>
    <t>Ongoing</t>
  </si>
  <si>
    <t>One-time</t>
  </si>
  <si>
    <t>Intermittent</t>
  </si>
  <si>
    <t>Annual</t>
  </si>
  <si>
    <t>2.3.4.4</t>
  </si>
  <si>
    <t>120 days</t>
  </si>
  <si>
    <t>Identify and develop inventory of all known locations where SSOs have discharged to the MS4 in last 5 years. Include location, discharge to surface water or MS4, dates &amp; time of each known SSO occurrence, volume, description of occurrence including cause, completed &amp; planned mitigation &amp; corrective measures with dates.</t>
  </si>
  <si>
    <t>Update inventory annually and report in annual report.</t>
  </si>
  <si>
    <t>Develop Outfall Interconnection Inventory</t>
  </si>
  <si>
    <t>Inventory Sanitary Sewer Overflows</t>
  </si>
  <si>
    <t>Permit Deliverable</t>
  </si>
  <si>
    <t>x</t>
  </si>
  <si>
    <t>Update inventory annually to include data collected from monitoring program.</t>
  </si>
  <si>
    <t>5 years</t>
  </si>
  <si>
    <t>System Mapping</t>
  </si>
  <si>
    <t>Physically label all MS4 outfall pipes.</t>
  </si>
  <si>
    <t xml:space="preserve">Delineate catchment areas for each MS4 outfall or interconnection. </t>
  </si>
  <si>
    <t>2 years</t>
  </si>
  <si>
    <t xml:space="preserve">Where available, include municipal sanitary sewer system &amp; municipal combined sewer system. </t>
  </si>
  <si>
    <t>Not Required</t>
  </si>
  <si>
    <t>Recommended mapping elements - storm sewer material, size &amp; age; sanitary sewer system material, size &amp; age; properties served by septic (when sewer &amp; septic exist); areas where MS4 could receive flow from septic systems (e.g., areas with poor soils, or high groundwater elevations); seasonal high water table elevation impacting sanitary alignments; topography; orthophotography; alignments; locations of illicit discharges</t>
  </si>
  <si>
    <t>Not Required so No Cost</t>
  </si>
  <si>
    <t>2.3.4.6 a i &amp; 2.3.4.6 b</t>
  </si>
  <si>
    <t>Develop a revised map of system showing outfalls &amp; receiving waters (required by MS4 2003 permit), pipes, open channel conveyances, catch basins, manholes, interconnections, municipally-owned structure BMPs, and receiving waters by name (include indication of all impairments from 303(d) and 305(b) list). Map can be produced by hand or computer-aided methods.</t>
  </si>
  <si>
    <t>Report on progress of map in annual report.</t>
  </si>
  <si>
    <t>Written IDDE Program</t>
  </si>
  <si>
    <t>Update mapping as necessary to reflect newly discovered information &amp; required corrections or modifications.</t>
  </si>
  <si>
    <t>Admin/Tech</t>
  </si>
  <si>
    <t>Required by 2003 Permit</t>
  </si>
  <si>
    <t>Develop and adopt a regulatory mechanism providing legal authority to municipality to regulate illicit discharges.</t>
  </si>
  <si>
    <t>Assess and classify each catchment into one of 4 possible categories (Excluded, Problem, High Priority, Low Priority)</t>
  </si>
  <si>
    <t>Priority rank each catchment within each category (except those "excluded") using 8 factors (past complaints, poor dry weather receiving water quality, density of generating sites (e.g., car dealers, car washes, gas stations, garden centers, industrial, manufacturing), age of surrounding development &amp; infrastructure, sewer conversion, historic combined sewer, density of aging septic systems, culverted streams. May also consider drinking water supplies, shell fishing areas, beaches or recreation waters, impaired waters.</t>
  </si>
  <si>
    <t>Outfall and Interconnection Screening and Sampling</t>
  </si>
  <si>
    <t>Develop written procedure for screening and sampling of outfalls - include sample collection, use of field kits, storage and conveyance of samples. Adopt a screening and sampling protocol consistent with EPA New England Bacterial Source Tracking Protocol (Draft 2012) (Appendix I).</t>
  </si>
  <si>
    <t>Catchment Investigation Procedure</t>
  </si>
  <si>
    <t>Document and annually report presence or absence of the 12 System Vulnerability Factors for each catchment.</t>
  </si>
  <si>
    <t>Perform wet weather screening for outfalls with identified System Vulnerability Factors.</t>
  </si>
  <si>
    <t>Perform dry weather investigation of key junction manholes by opening and inspecting for visual and olfactory evidence of illicit connections.</t>
  </si>
  <si>
    <t>Perform wet weather screening for outfalls with identified System Vulnerability Factors. Sample for same parameters as dry weather flows.</t>
  </si>
  <si>
    <t>Removal and Confirmation</t>
  </si>
  <si>
    <t>Follow-up Screening</t>
  </si>
  <si>
    <t>Assessment &amp; Priority Ranking of Catchments</t>
  </si>
  <si>
    <t>Written IDDE Plan</t>
  </si>
  <si>
    <t>3 years</t>
  </si>
  <si>
    <t xml:space="preserve">Develop written IDDE plan documenting SSOs, outfall/interconnection inventory, statement of program responsibilities, prioritization, outfall screening, catchment investigation procedures, procedures to isolate and verify sources, procedures for removal and confirmation, procedures and schedule for follow-up screening and illicit discharge/SSO prevention procedures. </t>
  </si>
  <si>
    <t>Upon detection of an illicit discharge, identify and notify all responsible parties and require immediate cessation. Should be eliminated within 60 days of identification, or if longer, a schedule developed and report dates of identification and schedules for removal in the permittee's annual reports.</t>
  </si>
  <si>
    <t>Develop written Catchment Investigation Procedure including review of maps and historic records; a manhole inspection methodology; and procedures to isolate and confirm sources of illicit discharges. Include in written IDDE Plan.</t>
  </si>
  <si>
    <t>1 year initial, update annually</t>
  </si>
  <si>
    <t>For each confirmed illicit discharge or SSO, include in the annual report the location of the discharge and its source, a description of the discharge, method and date of discovery, date of elimination, mitigation or enforcement action, and estimate volume removed.</t>
  </si>
  <si>
    <t>Track progress of Catchment Investigations in each annual report.</t>
  </si>
  <si>
    <t>Frequency</t>
  </si>
  <si>
    <t>1 year from removal</t>
  </si>
  <si>
    <t>Perform dry weather screening of every outfall (if inaccessible, proceed to first accessible upstream structure) when and how prescribed; identify in annual report any follow-up needed. Begin investigations within 15 months of effective date.</t>
  </si>
  <si>
    <t>Within one year of illicit discharge removal, perform confirmatory screening; wet (if System Vulnerability Factors present), dry or both.</t>
  </si>
  <si>
    <t>10 years</t>
  </si>
  <si>
    <t>One-time cost spread over a 10-year period</t>
  </si>
  <si>
    <t>Define or describe indicators for tracking program success. Should include measures that demonstrate efforts to locate illicit discharges, the number of SSOs and illicit discharges identified and removed, the percent and area in acres of the catchment area served by the MS4 evaluated using the catchment investigation procedure, and volume of sewage removed. Include in IDDE Plan.</t>
  </si>
  <si>
    <t>Provide annual training to employees involved in IDDE program.</t>
  </si>
  <si>
    <t>Include type and frequency of training in the annual report.</t>
  </si>
  <si>
    <t>Training</t>
  </si>
  <si>
    <t xml:space="preserve">5 years after catchment investigation </t>
  </si>
  <si>
    <t>4.2.1</t>
  </si>
  <si>
    <t>4.2.2</t>
  </si>
  <si>
    <t>4.2.3</t>
  </si>
  <si>
    <t>4.3.4</t>
  </si>
  <si>
    <t>4.3.1</t>
  </si>
  <si>
    <t>4.3.2</t>
  </si>
  <si>
    <t>4.3.3</t>
  </si>
  <si>
    <t>4.3.5</t>
  </si>
  <si>
    <t>4.4.1</t>
  </si>
  <si>
    <t>4.4.2</t>
  </si>
  <si>
    <t>4.4.3</t>
  </si>
  <si>
    <t>4.4.4</t>
  </si>
  <si>
    <t>4.4.5</t>
  </si>
  <si>
    <t>4.4.6</t>
  </si>
  <si>
    <t>4.4.7</t>
  </si>
  <si>
    <t>4.5.1</t>
  </si>
  <si>
    <t>4.5.2</t>
  </si>
  <si>
    <t>4.5.3</t>
  </si>
  <si>
    <t>4.5.4</t>
  </si>
  <si>
    <t>4.6.1</t>
  </si>
  <si>
    <t>4.6.2</t>
  </si>
  <si>
    <t>4.8.1</t>
  </si>
  <si>
    <t>4.8.2</t>
  </si>
  <si>
    <t>Maint</t>
  </si>
  <si>
    <t>Tech</t>
  </si>
  <si>
    <t>One-time with annual upkeep</t>
  </si>
  <si>
    <t>see dry &amp; wet weather screening schedules</t>
  </si>
  <si>
    <t>Sample dry and wet weather flows for ammonia, chlorine, conductivity, salinity, E.coli (freshwater) or enterococcus (saline or brackish), surfactants, and temperature. All analyses with the exception of indicator bacteria can be performed with field test kits or field instrumentation.</t>
  </si>
  <si>
    <t>One-time cost spread over a 3-year period</t>
  </si>
  <si>
    <t>see wet weather screening schedule</t>
  </si>
  <si>
    <t>see catchment investigation schedule</t>
  </si>
  <si>
    <t>Implement measures to control non-stormwater discharges if they add significant pollution.</t>
  </si>
  <si>
    <t>Upon completion of catchment investigations and illicit discharge removal and confirmation (if necessary), the catchment outfall or interconnection shall be scheduled for follow-up screening within five years.</t>
  </si>
  <si>
    <t>4.7.1</t>
  </si>
  <si>
    <t>Develop and implement a construction site runoff program.</t>
  </si>
  <si>
    <t>Develop an ordinance that requires sediment and erosions controls and for other wastes at construction sites. This was required by 2003 MS4 Permit.</t>
  </si>
  <si>
    <t>Adopt written procedures for inspections and enforcement of the ordinance.  Clearly define who is responsible for site inspections and who has authority to implement enforcement procedures. Document in SWMP.</t>
  </si>
  <si>
    <t>Update ordinance/bylaw to include requirements for site operators to implement BMPs (e.g., reduce disturbed area, protect slopes, etc.) and to control other wastes, if not already included.</t>
  </si>
  <si>
    <t>Include tracking information as part of each annual report.</t>
  </si>
  <si>
    <t>Admin/ Tech/Legal</t>
  </si>
  <si>
    <t>Admin/ Tech</t>
  </si>
  <si>
    <t>Annual report shall include measures that the permittee has done to meet these requirements.</t>
  </si>
  <si>
    <t>Update Ordinance or Bylaw</t>
  </si>
  <si>
    <t>Assess Street Design and parking Lot Guidelines</t>
  </si>
  <si>
    <t>Develop report assessing local regulations that affect the creation of impervious cover. Include recommendations and proposed schedules to incorporate into regulations. Involve local planning board and local transportation board.  Include in SWMP.</t>
  </si>
  <si>
    <t>Annual report shall contain an update on this requirement, including any planned or completed changes.</t>
  </si>
  <si>
    <t>4 years</t>
  </si>
  <si>
    <t>Complete inventory and ranking of Municipal property (including ROWs) suitable for modification or retrofit to reduce runoff/pollutants from MS4. Perform screening level of ranking considering access, geology, depth to water table, proximity to aquifers &amp; subsurface infrastructure, opportunities for public use and education, schedules for planned capital improvements to municipal infrastructure.</t>
  </si>
  <si>
    <t>Starting with fifth year annual report, report on status of all such inventoried properties.</t>
  </si>
  <si>
    <t>2.3.6 d iv</t>
  </si>
  <si>
    <t>Beginning fifth year</t>
  </si>
  <si>
    <t>Perform follow-up sampling to identify source if outfall sample comes back dirty.</t>
  </si>
  <si>
    <t xml:space="preserve">In each annual report list the total number of catch basins, number inspected and/or cleaned, and the volume or mass of material removed from each catch basin draining to water quality limited waters and the total volume or mass of material removed from all catch basins. </t>
  </si>
  <si>
    <t>Street Sweeping</t>
  </si>
  <si>
    <t>Report in the annual report on the status of all O&amp;M activities.</t>
  </si>
  <si>
    <t>2.1.1</t>
  </si>
  <si>
    <t>2.1.2</t>
  </si>
  <si>
    <t>Complete NOI Form</t>
  </si>
  <si>
    <t>Provide information on status of mapping and bylaws completed under 2003 permit.</t>
  </si>
  <si>
    <t>Appendix E</t>
  </si>
  <si>
    <t>Provide summary of receiving waters - waterbody segment that receives flow from the MS4, number of outfalls into receiving water, impairment, pollutants causing impairment, whether there is a TMDL.</t>
  </si>
  <si>
    <t>Identify new BMPs and goals to meet new permit.</t>
  </si>
  <si>
    <t>1.3.1</t>
  </si>
  <si>
    <t>1.3.2</t>
  </si>
  <si>
    <t>1.3.3</t>
  </si>
  <si>
    <t>Document program in annual report: messages for each audience; method of distribution; measures/methods used to assess effectiveness of message; measures/methods to assess effectiveness.</t>
  </si>
  <si>
    <t>1.10.a &amp; 1.10.2</t>
  </si>
  <si>
    <t>Cost Options</t>
  </si>
  <si>
    <t>Municipality Size (e.g., small, medium, large based on population)</t>
  </si>
  <si>
    <t>Miles of Roadway in UA</t>
  </si>
  <si>
    <t>Number of Catch Basins in UA</t>
  </si>
  <si>
    <t>Number of Outfalls in UA</t>
  </si>
  <si>
    <t>Potential Application</t>
  </si>
  <si>
    <t>Number of Municipal Facilities</t>
  </si>
  <si>
    <t>Number of Town-owned BMPs</t>
  </si>
  <si>
    <t>Could cost for a smaller community and then apply a multiplier for the larger communities.</t>
  </si>
  <si>
    <t>O&amp;M Plan for BMP maintenance</t>
  </si>
  <si>
    <t>Number of Municipal Facilities with Stormwater Exposure</t>
  </si>
  <si>
    <t>SWPPPs</t>
  </si>
  <si>
    <t>Number of non-TMDL nitrogen impaired waters</t>
  </si>
  <si>
    <t>Number of non-TMDL phosphorus impaired waters</t>
  </si>
  <si>
    <t>Dry weather screening, wet weather screening (with assumptions on number with vulnerability factors)</t>
  </si>
  <si>
    <t>Nitrogen Plan</t>
  </si>
  <si>
    <t>Phosphorus Plan</t>
  </si>
  <si>
    <t>Catchment investigations, mapping, CB cleaning (with assumptions or just provide a per CB cost)</t>
  </si>
  <si>
    <t>O&amp;M Plans, Retrofit Prioritization</t>
  </si>
  <si>
    <t>NOI, SWMP, Public Education, Regulatory reviews &amp; updates</t>
  </si>
  <si>
    <t>Update assessment &amp; priority ranking annually based on results of screening and new information and include in annual report. Include listing of all catchments and results of ranking, summary of evidence of known or suspected illicit discharges and SSOs by catchment, corrective measures taken or planned, schedule for completing and verifying measures correcting the confirmed illicit discharges and SSOs.</t>
  </si>
  <si>
    <t>Discharges to Surface Drinking Water Supplies and Their Tributaries</t>
  </si>
  <si>
    <t>Consider discharges to public surface drinking water supply sources a priority.</t>
  </si>
  <si>
    <t>3.0.a</t>
  </si>
  <si>
    <t>3.0.b</t>
  </si>
  <si>
    <t>Provide pretreatment and spill control measures to stormwater discharges to public drinking water supply sources or their tributaries to the extent feasible.</t>
  </si>
  <si>
    <t>3.0.c</t>
  </si>
  <si>
    <t>Avoid direct discharges to Class A waters to the extent feasible.</t>
  </si>
  <si>
    <t>Self-evaluate compliance with the terms and conditions of the permit including appropriateness of selected BMPs.</t>
  </si>
  <si>
    <t>4.1.a &amp; b</t>
  </si>
  <si>
    <t>Keep records for 5 years.</t>
  </si>
  <si>
    <t>Make records relating to the permit available to the public.</t>
  </si>
  <si>
    <t>Report screening data annually; identify any follow-up needed. Include date, outfall ID, location, weather conditions, precipitation in previous 48 hours, field screening parameter results, and results of all analyses.</t>
  </si>
  <si>
    <t>Annually</t>
  </si>
  <si>
    <t>In annual report, include results from any other stormwater or receiving water quality monitoring or studies conducted during the reporting period.</t>
  </si>
  <si>
    <t>Annual Reports</t>
  </si>
  <si>
    <t>Additional specific items required are covered throughout each minimum measure.</t>
  </si>
  <si>
    <t>Submit annual reports including self-assessment review, appropriateness of BMPs, status of impaired waters compliance, items outlined in each of the minimum measures.</t>
  </si>
  <si>
    <t>Step 2B - Contact USFWS for consultation and opinion. If opinion is "no jeopardy" or you receive concurrence that discharges are "not likely to adversely affect", and you agree to implement all measures upon which the consultation was conditioned and you agree to re-initiate consultation with USFWS as necessary, skip to Step 4, otherwise go to Step 3.</t>
  </si>
  <si>
    <t>Review sanitary sewer and storm sewer construction plans for each catchment. Identify and record the presence  of System Vulnerability Factors: history of SSOs; areas that could readily result in SSOs; inadequate sanitary sewer level of service; common or twin-invert manholes serving storm &amp; sanitary alignments; common trench construction serving both storm &amp; sanitary; crossing of storm &amp; sanitary; sanitary sewer with possible underdrain; sanitary sewer defects areas formerly served by combined sewer; sanitary sewer &amp; storm drain infrastructure greater than 40 years old in medium and densely developed areas; widespread code-required septic upgrades; history of BOH actions addressing widespread septic failures. Include in IDDE Plan.</t>
  </si>
  <si>
    <t>Sample dry flows at key junction manholes for ammonia, chlorine, conductivity, salinity, E.coli (freshwater) or enterococcus (saline or brackish), surfactants, and temperature. All analyses with the exception of indicator bacteria can be performed with field test kits or field instrumentation.</t>
  </si>
  <si>
    <t>Provide oral notice to EPA within 24 hours upon becoming aware of an SSO to the MS4. Provide written notice to EPA &amp; MassDEP within 5 days, include inventory information.</t>
  </si>
  <si>
    <t>Identify each outfall &amp; interconnection discharging from MS4, record location &amp; condition. Include: unique identifier, receiving water, date of most recent inspection, dimensions, shape, material, lat/long, physical condition &amp; indicators of non-stormwater discharges.</t>
  </si>
  <si>
    <t>Develop written procedures for site plan review and inspection and enforcement within 1 year, if not already completed. Include pre-construction review, consideration for protection of water quality impacts, LID components, receipt of information from the public, inspections during and after BMP installation, qualifications necessary to perform the inspections, inspection forms and procedures for tracking the number of site reviews, inspections, and enforcement actions.</t>
  </si>
  <si>
    <t xml:space="preserve">Develop report assessing local regulations to determine feasibility of making green roofs, infiltration practices and water harvesting devices allowable. Include recommendations and proposed schedules to incorporate into regulations. </t>
  </si>
  <si>
    <t>Develop procedures to ensure O&amp;M, such as dedicated funds or escrow accounts, acceptance of ownership by permittee, development of maintenance contracts between owner &amp; permittee, submission of an annual certification documenting maintenance.</t>
  </si>
  <si>
    <t>One-time cost, but could be spread over multiple years. To the extent feasible offers some flexibility.</t>
  </si>
  <si>
    <t>10th percentile</t>
  </si>
  <si>
    <t>50th percentile</t>
  </si>
  <si>
    <t>90th percentile</t>
  </si>
  <si>
    <t>Population</t>
  </si>
  <si>
    <t>Population in Regulated Area</t>
  </si>
  <si>
    <t>Total Area (acres)</t>
  </si>
  <si>
    <t>Total IA (Area)</t>
  </si>
  <si>
    <t># Outfalls</t>
  </si>
  <si>
    <t># Catch Basins (10 per outfall)</t>
  </si>
  <si>
    <t>Option 1: # Key Junction Manholes (20% of CBs)</t>
  </si>
  <si>
    <t>Option 2: # Key Junction Manholes (3 per outfall)</t>
  </si>
  <si>
    <t>Range in # Key Junction Manholes</t>
  </si>
  <si>
    <t>50 - 75</t>
  </si>
  <si>
    <t>400 - 600</t>
  </si>
  <si>
    <t>1,000 - 1,500</t>
  </si>
  <si>
    <t>% of structures requiring cleaning (50% full)</t>
  </si>
  <si>
    <t># of structures requiring cleaning (50% full)</t>
  </si>
  <si>
    <t>% of outfalls flowing under dry weather conditions</t>
  </si>
  <si>
    <t># of outfalls flowing under dry weather conditions</t>
  </si>
  <si>
    <t># of catchment areas with system Vulnerability Factors for wet weather sampling (25%)</t>
  </si>
  <si>
    <t># of catchment areas with system Vulnerability Factors for wet weather sampling (75%)</t>
  </si>
  <si>
    <t>Miles of roadway for sweeping (RM x 2)</t>
  </si>
  <si>
    <t># of community-owned stormwater BMPs</t>
  </si>
  <si>
    <t># of permittee-owned facilities for evaluating BMP options and for  O &amp; M where there is exposure to stormwater</t>
  </si>
  <si>
    <t>Hours</t>
  </si>
  <si>
    <t>-</t>
  </si>
  <si>
    <t>Supporting Documentation</t>
  </si>
  <si>
    <t>General Notes</t>
  </si>
  <si>
    <t>Reese:  $100,000 to work on major policy changes in land use regulations.</t>
  </si>
  <si>
    <t>Number of Years</t>
  </si>
  <si>
    <t>Prepare and Submit SWMP Plan</t>
  </si>
  <si>
    <t>Assume 2 hours to incorporate results into written SWMP Plan.</t>
  </si>
  <si>
    <t>Haverhill MA:  $7,200 to prepare all NOI PAIs.</t>
  </si>
  <si>
    <t>Performed under other annual report items.</t>
  </si>
  <si>
    <t>Combined with PAI 1.4.</t>
  </si>
  <si>
    <t>Required under 2003 Permit and should already be implemented.</t>
  </si>
  <si>
    <t>Haverhill MA:  total cost of $14,400.</t>
  </si>
  <si>
    <t>Haverhill MA:  total cost of $7,200, combined with 3.1.</t>
  </si>
  <si>
    <t>Haverhill MA:  total cost of $7,200, combined with 2.1.</t>
  </si>
  <si>
    <t>Haverhill MA:  costs of $4,800 for inventory only.</t>
  </si>
  <si>
    <t>Public Education and Public Participation</t>
  </si>
  <si>
    <t>Report Public Involvement and Public Participation activities in annual report.</t>
  </si>
  <si>
    <t>IDDE</t>
  </si>
  <si>
    <t>Update SSO inventory annually and report in annual report.</t>
  </si>
  <si>
    <t>Update Outfall Interconnection Survey inventory annually to include data collected from monitoring program.</t>
  </si>
  <si>
    <t>Report on progress of Storm System map in annual report.</t>
  </si>
  <si>
    <t>Construction Site Control</t>
  </si>
  <si>
    <t>Post Construction Site Control</t>
  </si>
  <si>
    <t>Annual report shall include measures that the permittee has done to meet ordinance update requirements.</t>
  </si>
  <si>
    <t>Annual report shall contain an update on this requirement (Assess Street and Parking Lot Designs), including any planned or completed changes.</t>
  </si>
  <si>
    <t>Annual report shall contain an update on this requirement (Assess Local Regulations for LID), including any planned or completed changes.</t>
  </si>
  <si>
    <t>Starting with fifth year annual report, report on status of all Permittee-owned inventoried properties.</t>
  </si>
  <si>
    <t>Good Housekeeping</t>
  </si>
  <si>
    <t>Each annual report shall include number of road miles cleaned and volume or mass of material removed.</t>
  </si>
  <si>
    <t>Report the findings from the SWPPP Site inspections in the annual report.</t>
  </si>
  <si>
    <t>all</t>
  </si>
  <si>
    <t>Inventory and Rank Municipal Properties</t>
  </si>
  <si>
    <t>LID Regulations and Guidelines</t>
  </si>
  <si>
    <t>See Annual Report cost breakdown</t>
  </si>
  <si>
    <t>1.4a</t>
  </si>
  <si>
    <t>1.4b</t>
  </si>
  <si>
    <t>Construction site inspections</t>
  </si>
  <si>
    <t>Pre-construction peer reviews</t>
  </si>
  <si>
    <t>Holyoke:  $17,000 for 75 outfalls.</t>
  </si>
  <si>
    <t>Haverhill:  $4,200.</t>
  </si>
  <si>
    <t>Total Cost</t>
  </si>
  <si>
    <t>Sample Analysis Cost (per sample - bacteria, ammonia, chlorine, salinity, surfactants)</t>
  </si>
  <si>
    <t>Sample Analysis Multi-Meter (conductivity and temperature)</t>
  </si>
  <si>
    <t>Additional Fixed Cost</t>
  </si>
  <si>
    <t>Low</t>
  </si>
  <si>
    <t>High</t>
  </si>
  <si>
    <t>Most communities should know where their SSOs are located. Assume 24 hours for a consultant to compile existing SSO information and prepare a map.  Note for many communities, this will be zero.</t>
  </si>
  <si>
    <t>May not be required at all.  Community dependent.  Assume 4 hours for correspondence and brief letter report.   Assume 1 notification per year over length of permit term.</t>
  </si>
  <si>
    <t>Removed from permit.</t>
  </si>
  <si>
    <t xml:space="preserve">Assumed number of catchment areas, same number as outfalls.  Assume delineation of 20 outfalls per day in GIS. </t>
  </si>
  <si>
    <t>Not required to map these from scratch, just include what it already mapped.  Assume 0 for communities with nothing in GIS, minimal cost to overlay existing GIS layers with MS4 info.</t>
  </si>
  <si>
    <t>Included in 4.3.2 and 4.3.3.</t>
  </si>
  <si>
    <t>Costs included in other tasks.</t>
  </si>
  <si>
    <t>Costs under PAI 4.3.1</t>
  </si>
  <si>
    <t>Included in 4.3.3.</t>
  </si>
  <si>
    <t>CWP IDDE Manual:  average $2,500 cost per correction, plus additional $500 per investigation</t>
  </si>
  <si>
    <t>Most likely will be zero.  Some communities may have a minimal cost.</t>
  </si>
  <si>
    <t>Likely minimal effort.  Assume 2 hours per year to include in annual report.</t>
  </si>
  <si>
    <t>Minimal cost, if any.  Many communities will be zero, and those with SSOs will only be a couple hours.</t>
  </si>
  <si>
    <t>Assume 8 hours to update a database annually.</t>
  </si>
  <si>
    <t xml:space="preserve">CWP IDDE Manual - $9k-$21.2k per 80 samples for analysis only. Low assumes in-house analysis for Flow Chart Method  &amp; high assumes contracted lab analysis of 11 parameters. CWP's inspection costs were based on miles of stream rather than number of outfalls. This equates to $112.5-$265 per sample or $2,250-$5,300 for 20 samples. 
Haverhill:  $31,500 to inspect 150 outfalls and sample 30 outfalls.
Reese:  $12,000 assuming 240 hours of student volunteers to screen outfalls. </t>
  </si>
  <si>
    <t>Hours per Year</t>
  </si>
  <si>
    <t>Reese:  20 hours to adopt a generic ordinance for a town with 10,000 population. CWP IDDE Manual $1,000-$17,000.</t>
  </si>
  <si>
    <t>Costs included under PAI 4.3.1</t>
  </si>
  <si>
    <t>Assumed 10% would have dry weather flows (same assumption as flowing outfalls) and applied per sample costs, with purchase of meter covered under outfall screening and sampling.</t>
  </si>
  <si>
    <t>This is after the 5-year permit period so no cost carried. In future years, it should be equivalent to dry and wet weather catchment investigations under PAIs 4.3.2, 4.3.3, and 4.3.4.</t>
  </si>
  <si>
    <t>Total Cost Over 5-Year Permit Period</t>
  </si>
  <si>
    <t>Will be minimal. See Annual Report cost breakdown.</t>
  </si>
  <si>
    <t>CWP IDDE Manual - 1 week to 4 weeks to gather outfall mapping information; 20 (paper) to 40 (GIS) hours to produce map. So total of between 60 and 200 hours. Holyoke: $60,000 for 3,300 CBs &amp; MHs &amp; 75 outfalls. Haverhill: $60,000 for 150 outfalls, unknown number of CBs and MHs.</t>
  </si>
  <si>
    <t>Inventory will be compiled from combination of mapping and outfall screening performed under other PAIs, therefore no cost carried here.</t>
  </si>
  <si>
    <t>4.3.2.A</t>
  </si>
  <si>
    <t xml:space="preserve">Permit just says to find source and remove. Assume there will be some follow-up sampling to do this.  Assume a field crew of 2 people for 8 hours to investigate each incident, with up to 3 incidents per year. Assume an additional 5 samples per incident to help identify the source. </t>
  </si>
  <si>
    <t>TOTAL FOR FIVE YEARS</t>
  </si>
  <si>
    <t>Qty</t>
  </si>
  <si>
    <t>per sample</t>
  </si>
  <si>
    <t>bacteria</t>
  </si>
  <si>
    <t>Alpha Analytical, Westborough, MA - E. Coli Enumeration ($52), Enterococcus ($39); Chemserve, Milford, NH - E. Coli MPN ($27) Enterococcus ($27)</t>
  </si>
  <si>
    <t>ammonia, package of 30</t>
  </si>
  <si>
    <t>http://www.benmeadows.com/chemets-ammonia-water-test-kit_s_16806-1/</t>
  </si>
  <si>
    <t>chlorine and salinity, package of 50</t>
  </si>
  <si>
    <t>http://www.benmeadows.com/lamotte-chloride-salinity-test-kit-pkg-of-50-tests_s_221784/</t>
  </si>
  <si>
    <t>conductivity and temperature multimeter</t>
  </si>
  <si>
    <t>http://www.benmeadows.com/hanna-waterproof-portable-low-range-multiparameter-meter-_s_57565/</t>
  </si>
  <si>
    <t>surfactants kit and 20 tests</t>
  </si>
  <si>
    <t>http://www.chemetrics.com/Detergents+%28anionic+surfactants%2C+MBAS%29/Visual+Kits/K-9400</t>
  </si>
  <si>
    <t>surfactants refills 20 tests</t>
  </si>
  <si>
    <t>Consultant Rate</t>
  </si>
  <si>
    <t>Costs included under 2.1.</t>
  </si>
  <si>
    <t>Combine with Step 2B.</t>
  </si>
  <si>
    <t>Assume 4 hours to query online system and document in letter report.</t>
  </si>
  <si>
    <t xml:space="preserve">Not likely, however, assume 10 hours for phone conversation and brief letter report, follow-up correspondence and ultimate decision.  </t>
  </si>
  <si>
    <t>Assume 4 hours to prepare brief cover letter.  Note:  it is assumed that most facilities were authorized under the previous permit.</t>
  </si>
  <si>
    <t>Assume 4 hours to query National Register and document results in a brief letter report.</t>
  </si>
  <si>
    <t>Assume 8 hours for a consultant to prepare a PNF, USGS map and other information, and 8 hours to develop a list of conditions to avoid impacts.  Note:  Likely not required.</t>
  </si>
  <si>
    <t xml:space="preserve">Low </t>
  </si>
  <si>
    <t xml:space="preserve">Communities can pass inspection costs on to the developer, which would eliminate consultant costs and minimize this to staff hours. </t>
  </si>
  <si>
    <t>Adopt or amend a local ordinance to control projects that disturb an acre or more. Incorporate design standards included in the permit.</t>
  </si>
  <si>
    <t>Low - Assume 8 hours for meeting with Town including meeting prep time, and 24 hours to review and provide recommendations on regulations.  Assume additional legal fees of $1,000. High - Increase meeting time to 16 hours and increase legal fees to $2,000.</t>
  </si>
  <si>
    <t>Low - Assume 8 hours for meeting with Town including meeting prep time, and 24 hours to review and provide recommendations on regulations.  Assume additional legal fees of $1,000. High - Increase meeting time to 8 hours and legal fees to $2,000.</t>
  </si>
  <si>
    <t>Low - Assume 40 hours to review regulations and draft report with recommendations, 16 hours to draft regulatory changes, 8 hours for meetings with Town. Include legal fees of $1,000. High - Assume 80 hours to review regulations and draft report with recommendations, 20 hours to draft regulatory changes, 16 hours for meetings with Town. Assume additional legal fees of $2,000. Includes PAI 2.1 and 3.1. (Bumped up the hours a bit because this may be done by someone at a higher rate).</t>
  </si>
  <si>
    <t>Public Education and Outreach Requirement</t>
  </si>
  <si>
    <t>Type of Material</t>
  </si>
  <si>
    <t>Annual - Ongoing</t>
  </si>
  <si>
    <t>Continue public education program required by 2003 permit.</t>
  </si>
  <si>
    <t>Develop program - Define goals, express specific messages define audience for each message, identify parties responsible for implementation, identify methods to evaluate effectiveness of messages.</t>
  </si>
  <si>
    <t>Begin 1st year of permit</t>
  </si>
  <si>
    <t xml:space="preserve">Annual </t>
  </si>
  <si>
    <t>Mailed Brochure</t>
  </si>
  <si>
    <t>Printed Flyer</t>
  </si>
  <si>
    <t>Website</t>
  </si>
  <si>
    <t>Workshops</t>
  </si>
  <si>
    <t>Review program and modify ineffective messages or distribution techniques.</t>
  </si>
  <si>
    <t>This will be covered by other requirements of the permit.</t>
  </si>
  <si>
    <t>Assume this is just a summary and modification where needed.</t>
  </si>
  <si>
    <t>WPI report estimate $10K-$20K for MA communities; CA cost survey estimated $28K-$350K annual cost for program</t>
  </si>
  <si>
    <t>WPI report estimate $8,820 to assess effectiveness of program (annual).</t>
  </si>
  <si>
    <t>Public Involvement and Participation Requirement</t>
  </si>
  <si>
    <t>Comply with state public Notice requirements. Make SWMP &amp; annual reports available to public.</t>
  </si>
  <si>
    <t>Provide annual opportunity for public to participate in review and implementation of SWMP. May include websites, hotlines, clean-up teams, monitoring teams, advisory committee.</t>
  </si>
  <si>
    <t>Report activities in annual report.</t>
  </si>
  <si>
    <t>Assume most municipalities will use current town forums including town meetings and updating websites.</t>
  </si>
  <si>
    <t>Weston and Sampson cost estimate for Merrimack Valley Planning Commission $500-$5K annual</t>
  </si>
  <si>
    <t>Pollution Prevention and Good Housekeeping Requirement</t>
  </si>
  <si>
    <t>Develop Facility O&amp;M Procedures</t>
  </si>
  <si>
    <t>Develop an inventory of all permittee owned facilities within the following categories: parks &amp; open space, buildings &amp; facilities, vehicles &amp; equipment.</t>
  </si>
  <si>
    <t>Develop or update written O&amp;M procedures for listed municipal facilities. </t>
  </si>
  <si>
    <t>Develop template and general procedures for all facilities (8 hours); develop procedures for all listed facilities (each facility = 4 hours)</t>
  </si>
  <si>
    <t>Review inventory annually and update as necessary.</t>
  </si>
  <si>
    <t>Develop Infrastructure O&amp;M Procedures</t>
  </si>
  <si>
    <t>Catch Basin Cleaning</t>
  </si>
  <si>
    <t>One-time - updated as needed</t>
  </si>
  <si>
    <t>Develop a written optimization plan detailing procedures and schedule for cleaning and maintaining catch basins to ensure no catch basin is more than 50% full. Include inspection and maintenance prioritization.</t>
  </si>
  <si>
    <t>See accompanying word doc</t>
  </si>
  <si>
    <t>2.1.3</t>
  </si>
  <si>
    <t>If more than 50% full during two routine cleanings, investigate the cause for excessive sediment loading. </t>
  </si>
  <si>
    <t>2.1.4</t>
  </si>
  <si>
    <t>Describe actions taken to assess and abate catch basins that are more than 50% full during two consecutive cleanings.</t>
  </si>
  <si>
    <t>2.1.5</t>
  </si>
  <si>
    <t>Document in first annual report the plan for optimizing catch basin cleaning, inspections or scheduling.</t>
  </si>
  <si>
    <t>2.1.6</t>
  </si>
  <si>
    <t xml:space="preserve">Maintain a log of catch basins cleaned or inspected. </t>
  </si>
  <si>
    <t>2.1.7</t>
  </si>
  <si>
    <t>2.2.1</t>
  </si>
  <si>
    <t>Develop and implement procedures for sweeping streets and municipal-owned lots. Include more frequent sweeping of targeted areas determined by the permittee on the basis of pollutant load reduction potential, based on inspections, pollutant loads, catch basin cleaning or inspection results, land use, water quality limited or RMDL waters or other relevant factors as determined by the permittee.</t>
  </si>
  <si>
    <t>2.2.2</t>
  </si>
  <si>
    <t>Sweep all streets (rural exceptions apply) a minimum of once a year in the spring.</t>
  </si>
  <si>
    <t>2.2.3</t>
  </si>
  <si>
    <t>Each annual report shall include number of miles cleaned and volume or mass of material removed.</t>
  </si>
  <si>
    <t>2.2.4</t>
  </si>
  <si>
    <t>For rural exception areas, either sweep once each spring, or develop specific procedures and place in first annual report. </t>
  </si>
  <si>
    <t>2.2.5</t>
  </si>
  <si>
    <t>Properly store &amp; dispose of catch basin cleanings and street sweepings so they do not discharge to receiving waters.</t>
  </si>
  <si>
    <t>Winter Road Maintenance</t>
  </si>
  <si>
    <t>2.3.1</t>
  </si>
  <si>
    <t>Establish written procedures for winter road maintenance including storage of salt and sand; minimize use of sodium chloride and other salts; ensure snow disposal activities do not result in disposal of snow into surface waters.</t>
  </si>
  <si>
    <t>2.3.2</t>
  </si>
  <si>
    <t>Implement procedures for winter road maintenance.</t>
  </si>
  <si>
    <t>Minimal cost as winter road maintenance costs are likely factored elsewhere.</t>
  </si>
  <si>
    <t>Maintenance of Town-owned Stormwater Treatment Structures</t>
  </si>
  <si>
    <t>2.4.1</t>
  </si>
  <si>
    <t>Establish written O&amp;M procedures for all permittee-owned stormwater BMPs (e.g., swales, retention basins etc.).</t>
  </si>
  <si>
    <t>2.4.2</t>
  </si>
  <si>
    <t>Inspect all such structures at least once annually.</t>
  </si>
  <si>
    <t>2.4.3</t>
  </si>
  <si>
    <t>2.4.4</t>
  </si>
  <si>
    <t>Keep a written record of all required activities.</t>
  </si>
  <si>
    <t>SWPPP</t>
  </si>
  <si>
    <t>Develop a SWPPP for maintenance garages, public works yards, transfer stations, and other waste handling facilities where pollutants are exposed to stormwater.</t>
  </si>
  <si>
    <t>Tech/Maint</t>
  </si>
  <si>
    <t>Fully implement SWPPPs for  each of the listed facilities.</t>
  </si>
  <si>
    <t>Regularly train employees who work in areas where materials or activities are exposed to stormwater. Document training date, title and duration; attendees; subjects covered during training.</t>
  </si>
  <si>
    <t>Quarterly</t>
  </si>
  <si>
    <t>Inspect all areas exposed to stormwater and all stormwater control measures at least every calendar quarter, with one when a stormwater discharge is occurring.</t>
  </si>
  <si>
    <t>Repair or replace any control measures needing repair before the next anticipated storm event.</t>
  </si>
  <si>
    <t>Report the findings from the Site inspections in the annual report.</t>
  </si>
  <si>
    <t>Keep a written record of all required activities required under the SWPPP.</t>
  </si>
  <si>
    <t>Weston and Sampson Cost estimate for Merrimack Valley Planning Commission ($5K-$10K)</t>
  </si>
  <si>
    <t>Includes hours to work with town to develop specifically for their system and develop GIS map and tracking tool.</t>
  </si>
  <si>
    <t>Assumes rented truck ($50-$100 per structure)</t>
  </si>
  <si>
    <t>Assume basic report.</t>
  </si>
  <si>
    <t>Most work completed under PAI 2.1.1 and this would be a simple write up</t>
  </si>
  <si>
    <t>Assumes rented truck ($50-$100 per curb mile)</t>
  </si>
  <si>
    <t>No cost as storage and disposal are regulated elsewhere. If truck is rented, disposal costs are included.</t>
  </si>
  <si>
    <t>Assume 8 hours fro general procedures and 4-16 for specific BMPs.</t>
  </si>
  <si>
    <t>Cost included throughout other items.</t>
  </si>
  <si>
    <t>Assume one annual training (8 hours) and 4-6 hours for documentation and prep</t>
  </si>
  <si>
    <t>No costs estimated as it could range from $0 - ? Based on extent of problem.</t>
  </si>
  <si>
    <t>CA State Water Board $5K-$10K per SWPPP</t>
  </si>
  <si>
    <t>Low - Assume 80 hours for preparation of written components, 40 hours for creation of maps and figures and 8 hours for meetings.  High - Increase plan preparation to 120 hours, creation of maps and figures to 60 hours and meetings to 24 hours.</t>
  </si>
  <si>
    <t>Pre-construction peer reviews per year. Low - Assume 24 hours per project. High - Assume  40 hours per project, including meetings.</t>
  </si>
  <si>
    <t>Fixed Costs</t>
  </si>
  <si>
    <t>Meeting with Town</t>
  </si>
  <si>
    <t>Meet with Town and review materials.</t>
  </si>
  <si>
    <t>Update covered under IDDE. Costs here reflect incorporation into annual report.</t>
  </si>
  <si>
    <t>Likely minimal effort.  Most tracking performed under PAI 4.4.2.  Assume 1-2 hours per year to include in annual report.</t>
  </si>
  <si>
    <t>Assume field work and most documentation performed under PAI 4.5.2 and 4.6.2.  Minimal effort, and possibly zero for communities with no SSOs.  Assume 0-4 hours.</t>
  </si>
  <si>
    <t>Likely minimal effort.  Training and most documentation under PAI 4.8.1  Assume 1-2 hours per year to include in annual report.</t>
  </si>
  <si>
    <t>Assume 1-2 hours to report status.</t>
  </si>
  <si>
    <t>Likely minimal effort.  Assume 1-2 hours per year to include in annual report.</t>
  </si>
  <si>
    <t>Low - Assume 40 hours to meet with town (8), review impaired waters (8), review existing BMPs implemented under the 2003 permit (8), develop new BMPs to meet the six minimum measures under the new permit (12), and complete the NOI (4). High - Assume 72 hours to meet with town (8), review impaired waters (16), review existing BMPs implemented under the 2003 permit (16), develop new BMPs to meet the six minimum measures under the new permit (24), and complete the NOI (8). There would be cost savings to develop this in coordination with SWMP.</t>
  </si>
  <si>
    <t>Required under 2003 Permit and should already be implemented. If not, could be combined with regulatory updated under 1.3.</t>
  </si>
  <si>
    <t>In annual report tab</t>
  </si>
  <si>
    <t>Most costs will go towards measuring effectiveness; estimated in annual report tab</t>
  </si>
  <si>
    <t>Material for report should be available through 2.1.2. and 2.1.6. Hours to assemble report and calculate material removed ( 8 hours in annual report tab)</t>
  </si>
  <si>
    <t>in annual report tab</t>
  </si>
  <si>
    <t># of residents</t>
  </si>
  <si>
    <t>Assumed # of households</t>
  </si>
  <si>
    <t>Assumed number of households</t>
  </si>
  <si>
    <t>Consultant Rate per hour</t>
  </si>
  <si>
    <t>WV estimate</t>
  </si>
  <si>
    <t>WV estimate and current copy rates</t>
  </si>
  <si>
    <t>Total Hours over 5-year period</t>
  </si>
  <si>
    <t>Total Hours Over 5-Year Permit Period</t>
  </si>
  <si>
    <t>Number of Curb Miles</t>
  </si>
  <si>
    <t>Miles of roadway for sweeping</t>
  </si>
  <si>
    <t>Number of Facilities</t>
  </si>
  <si>
    <t>Number of facilities requiring SWPPPs</t>
  </si>
  <si>
    <t>Task Specific Multipliers</t>
  </si>
  <si>
    <t>Total</t>
  </si>
  <si>
    <t>Cost</t>
  </si>
  <si>
    <t>One-Time</t>
  </si>
  <si>
    <t>Total*</t>
  </si>
  <si>
    <t>*Without Intermittent Costs</t>
  </si>
  <si>
    <t>TOTAL FOR FIVE YEARS (W/O Intermittent Costs)</t>
  </si>
  <si>
    <t>Number of Outfalls</t>
  </si>
  <si>
    <t>Number of CBs (10 per outfall)</t>
  </si>
  <si>
    <t>Number of Key Junction Manholes</t>
  </si>
  <si>
    <t>Option 1: 20% of CBs</t>
  </si>
  <si>
    <t>Option 2: 3 per outfall</t>
  </si>
  <si>
    <t>Number of outfalls flowing under dry conditions</t>
  </si>
  <si>
    <t>Percent of outfalls flowing under dry conditions</t>
  </si>
  <si>
    <t>TOTAL FOR FIVE YEARS (w/o intermittent costs)</t>
  </si>
  <si>
    <t>Number of permittee-owned facilities for evaluating BMP options</t>
  </si>
  <si>
    <t>TOTAL FOR FIVE YEARS Rented Truck (W/o Intermittent Costs)</t>
  </si>
  <si>
    <t>TOTAL FOR FIVE YEARS Purchased Truck (W/o Intermittent Costs)</t>
  </si>
  <si>
    <t>Rented Truck</t>
  </si>
  <si>
    <t>Purchased Truck</t>
  </si>
  <si>
    <t>One Time Costs</t>
  </si>
  <si>
    <t>Annual/Ongoing Costs</t>
  </si>
  <si>
    <t>Total Costs/Hours</t>
  </si>
  <si>
    <t xml:space="preserve"> Fixed Cost</t>
  </si>
  <si>
    <t>Assume 24-30 hours one time cost for meeting and coordination time with the community to determine what they currently do and what works for them in the future.</t>
  </si>
  <si>
    <t>Fixed Cost</t>
  </si>
  <si>
    <t>Assume 12 hours for site visits and 4-8 hours to prep table/report/letter</t>
  </si>
  <si>
    <t>NOI Requirement</t>
  </si>
  <si>
    <t>SWMP Requirement</t>
  </si>
  <si>
    <t>Annual Reporting Requirement</t>
  </si>
  <si>
    <t>Total Cost/Hours</t>
  </si>
  <si>
    <t xml:space="preserve"> Fixed Cost </t>
  </si>
  <si>
    <t>Covered under annual reporting</t>
  </si>
  <si>
    <t>Number of BMPs</t>
  </si>
  <si>
    <t>For 20 BMPs, assume 1-2 hours per BMP and 6 hours for documentation</t>
  </si>
  <si>
    <t>Costs will vary based on extent of SWPPPs; assume approximately $1,000-$1,500 per facility (3-5 facilities annually)</t>
  </si>
  <si>
    <t xml:space="preserve">Assume 2-4 hours per facility (3-5 facilities) per quarter or 8-16 hours per facility per year </t>
  </si>
  <si>
    <t>Most municipalities will continue to follow current town public notice requirements. May include posting SWMPs, annual reports, and other information about the permit to an already established town website or bulletin board.</t>
  </si>
  <si>
    <t>Covered under other public notification requirements (2.3.3 a)</t>
  </si>
  <si>
    <t>Structures needing annual cleaning</t>
  </si>
  <si>
    <t xml:space="preserve">Most communities will already be sweeping all roads. For rural communities, costs include 20 hours to develop plan and additional 10 hours per year to conduct a windshield survey and document. </t>
  </si>
  <si>
    <t>Assume $5,000 per facility. SWPPPs are required for3-5 of the 10 regulated facilities.</t>
  </si>
  <si>
    <t>CA State Water Board $1K per  facility</t>
  </si>
  <si>
    <t>Assume 16 hours to review discharge locations in relation to query findings,  phone conversation with USFWS, and brief letter report, follow-up correspondence and ultimate decision.  Note this step may not be necessary pending Step 2A results.</t>
  </si>
  <si>
    <t>Develop/update written SWMP to include: people responsible for program implementation; listing of all receiving waters, their classification, impairments, pollutants of concern, TMDLs, number of outfalls (included in NOI); surface drinking water supplies; listing of interconnected MS4; endangered species &amp; historic properties documentation; documentation of authorization of new or increased discharges; map of MS4; practices to achieve compliance with TMDLs &amp; non-TMDL impaired waters; practices to comply with six minimum measures; measures to avoid or minimize impacts to surface water supplies.</t>
  </si>
  <si>
    <t>Number of CA's with system vulnerability factors for wet weather sampling (25%)</t>
  </si>
  <si>
    <t>Number of CA's with system vulnerability factors for wet weather sampling (75%)</t>
  </si>
  <si>
    <t xml:space="preserve">Assume 6-8 hours per year for development of flyer </t>
  </si>
  <si>
    <t xml:space="preserve">Assume website start up cost of $2,500-$5,000 and annual maintenance cost of 4-8 hours </t>
  </si>
  <si>
    <t xml:space="preserve">Hours include time for advertising, reaching out to businesses, preparing workshops and materials. Additional costs are based on materials to be printed for workshops.  </t>
  </si>
  <si>
    <t>Range based on assumption a community will do the least expensive (flyers) task or the most expensive task (workshops) for a total of 8 messages throughout the permit term.</t>
  </si>
  <si>
    <t>Develop and send out two separate messages for each of 4 different audiences (residential, business/commercial/institution, developer &amp; construction, industrial) - assume distribution annually and a total of 8 messages per permit term.</t>
  </si>
  <si>
    <t xml:space="preserve">Assume 6-8 hours per year for development of brochure; printing and mailing costs range from $0.05 -$0.10 per household (assume approximately 6,000 households) </t>
  </si>
  <si>
    <t>Rural</t>
  </si>
  <si>
    <t>Suburban</t>
  </si>
  <si>
    <t>Urban</t>
  </si>
  <si>
    <t>Reese: 60 hours per year at $50/hour for large community.</t>
  </si>
  <si>
    <t xml:space="preserve">Varies depending on the amount of new construction per year.  Assume 0-40 hours per year to update map in GIS with new subdivision information. </t>
  </si>
  <si>
    <t>A plan was required under the 2003 permit. Assume low of 16 hours to update an existing plan with catchment prioritization and investigation requirements. Assume 48 hours to develop a plan if one does not exist.</t>
  </si>
  <si>
    <t>CEI charged about $3,500 to prepare an IDDE plan under the 2003 permit. The new permit has some additional information to be incorporated (catchment investigation procedures &amp; prioritization), which increases the level of effort. However, assuming a plan has already been prepared under the 2003 permit, a range has been provided to update an existing plan (low) and to prepare a plan from scratch (high). The level of effort will not change from one type of community to another since the catchment delineation/priorization task is covered elsewhere.</t>
  </si>
  <si>
    <t>Scaled as follows: Rural - 0-1 per year, Suburban - 0-3 per year, Urban - 0-6 per year.</t>
  </si>
  <si>
    <t>Maximum number of illicit dicharge incidents.</t>
  </si>
  <si>
    <t xml:space="preserve">Low assumes SVF applying to 25% of outfalls, high assumes 75%.  Assume 5 outfalls per person per day.  Note there can be substantial variation when performing wet weather sampling.  To be completed as catchment investigations are completed, so assumed it was spread evenly over 10 years (e.g., represents half the total cost will occur in the first five years). Annual reporting and mapping costs included under PAI 4.3.2. </t>
  </si>
  <si>
    <t>Assumed level of effort is spread evenly over ten years and then applied half of this to the five year permit term. The five samples per day is based on CEI experience performing wet weather sampling and trying to capture first flush. There can be false starts where time is spent going to collect a sample without enough runoff to actually collect one, which increases the level of effort to get the samples. Additional time may also be used trying to capture first flush.</t>
  </si>
  <si>
    <t>Covered under 4.5.1.</t>
  </si>
  <si>
    <t>Assume 2 people for 4 hours to investigate each incident, and additional 8 hours for a brief report.  Cost will vary depending on # of illicit discharges discovered.  Assume 0 to 3 per year, consistent with PAI 4.5.2.</t>
  </si>
  <si>
    <t xml:space="preserve">Level of effort is based on CEI performing training and includes preparation of training materials (these are typically tailored to the specific community) and exercises (where applicable), printing of traiining materials, travel to and from the site and providing the training. The same level of effort is expended regardless of the size of the staff; however, there could be some savings in materials. The $500 for travel and materials has been adjusted to range between $100-$500 to account for differences in travel mileage and materials, however, this has not been scaled by community size since the travel can be highly variable. </t>
  </si>
  <si>
    <t>Adjusted to 30-40 per day. 30 is more appropriate for busy area where vehicles may be in the way and structures may have to be visited more than once. Also reflects where more dry weather flows are encountered. Also reduced costs to reflect it evenly spread over 10 years.</t>
  </si>
  <si>
    <r>
      <rPr>
        <b/>
        <sz val="11"/>
        <color indexed="8"/>
        <rFont val="Calibri"/>
        <family val="2"/>
      </rPr>
      <t>If a Town's system has not yet been mapped and will be through field mapping, then the costs will be covered under PAI 3.1. If the system is already mapped and only need to perform the catchment investigation, then use this cost.</t>
    </r>
    <r>
      <rPr>
        <sz val="11"/>
        <color theme="1"/>
        <rFont val="Calibri"/>
        <family val="2"/>
      </rPr>
      <t xml:space="preserve"> Costing assumes 20% of catch basins are KJMs as a low, or 3 per outfall for a high and covers investigation of all, which needs to be spread over 10 year period based on prioritization.  Assume 30-40 structures per day with 2 field personnel.  Additional annual reporting covered under PAI 4.3.2.  Assume some additional funding for travel time and miscellaneous equipment. </t>
    </r>
  </si>
  <si>
    <t>High excludes Item 4.4.4 (catchment investigations) since it assumes field mapping of the system, which will cover these costs. Costs do not account for Municipal time to coordinate with consultant.</t>
  </si>
  <si>
    <t>Any items that can be completed over ten years are assumed to be spread evenly over that 10-year period and only the first five years are included in this total.</t>
  </si>
  <si>
    <t>Construction Projects per Year</t>
  </si>
  <si>
    <t xml:space="preserve">Required in 2003. Low - Assume 0 hours because it was completed under 2003 permit.  High - 16 to outline procedures, 24 hours to develop inspection forms and tracking worksheets, and 16 hours for meetings.  Assume town will track site reviews &amp; inspections.  Assume additional $2,000 per year for legal to discuss enforcement, etc.). </t>
  </si>
  <si>
    <t>Communities can pass peer review costs on to the developer, which would eliminate consultant costs and minimize this to staff hours. The estimates are lower than that provided by Reese.</t>
  </si>
  <si>
    <t>WV Estimate. For comparison - Reese:  $2,000 for small town, $3,000 for mid-sized town at $50/hr.</t>
  </si>
  <si>
    <t>WV Estimate. For comparison - Reese:  $12,000 to develop procedures (140 hours at $50/hr).  $10,000 per year for tracking items.  
Haverhill MA:  total cost of $5,600.</t>
  </si>
  <si>
    <t>WV Estimate based on performing peer reviews. Includes site visit, peer review, comments, response to comments and meeting(s). For comparison - Reese:  $45,000 per year (assumed to employ 1 person for 2 days per week).</t>
  </si>
  <si>
    <t xml:space="preserve">WV Estimate. </t>
  </si>
  <si>
    <t xml:space="preserve">Inspection time will vary from 4-8 hours depending on proximity of site to inspector. Assumes site visit, log completion, photo documentation and preparation of memo by consultant. Assume 1 inspection per project per year. </t>
  </si>
  <si>
    <t>This is an intermittent cost because it will only be required for new infrastructure construction projects with the potential to impact a historic site. Most want have to do this.</t>
  </si>
  <si>
    <t>Modified to base it on the number of sites.</t>
  </si>
  <si>
    <r>
      <t xml:space="preserve">Low - Assume 8 hours per site to collect information on the site, visit the site in the field, develop preliminary BMP ideas, prepare preliminary maps, prepare rough cost estimates and prioritize sites and document in a report.  High - Add 16 hours per selected site to develop conceptual designs of the top 3 sites. </t>
    </r>
    <r>
      <rPr>
        <b/>
        <sz val="11"/>
        <color indexed="8"/>
        <rFont val="Calibri"/>
        <family val="2"/>
      </rPr>
      <t>Although permit just says to prepare an inventory - really need to evaluate BMP options as well for them to take action on, which is included in this cost.</t>
    </r>
  </si>
  <si>
    <t>Required in 2003 with less specificity. Low - Assume 8 hours to prepare documentation and $1,000 in legal fees. High - Increase hours to 40 hours and legal fees to $2,000. Note: There will also be an annual fee for the Town to track and follow-up on annual certifications, etc.</t>
  </si>
  <si>
    <t>Tracking hours per year.  Assume number of site reviews, inspections and enforcement actions tracked under PAI 1.4 with copy of tracking attached to report.</t>
  </si>
  <si>
    <t>Assume most work performed under PAI 4.4.4 and 4.4.5.  Just need to tabulate results into annual report.  Assume 2-4 hours to summarize for report.</t>
  </si>
  <si>
    <t>Assumes inspections logs will be completed during inspection and attached to the annual report. A few hours to obtain and include information on status of needed improvements identified during inspections.</t>
  </si>
  <si>
    <t>Level of effort will depend on the community. More complex urban areas with sewer conversions, historic CSO, etc. will take more effort to gather and review the information. Scaled to reflect different community types. Rural - 16-24, Suburban - 24-40, Urban - 24-60.</t>
  </si>
  <si>
    <t>Cost to delineate under PAI 3.2.  Will depend on availability of classification factor information.  Assume 24 hours minimum to collect data, develop a matrix and rank catchments. Increase up to 40 hours for more complex data.</t>
  </si>
  <si>
    <t xml:space="preserve">Assume 16 hours for rural communities with no sewer to assess system vulnerability factors.  Assume 40 hours for towns with sewer. </t>
  </si>
  <si>
    <t>Time is scaled as follows: Rural - 16-40 hours, Suburban - 16-40 hours, Urban - 40-60. Whether or not they have sewer and SSOs will be a large factor in level of effort, along with availability of information.</t>
  </si>
  <si>
    <t>Assume investigation performed under PAI 4.3.2A. Assume 8 hours for a brief report for each incident.  Assume costs to fix ($2,500 estimated by CWP) are passed along to responsible party.</t>
  </si>
  <si>
    <t>The 25 structures per day is based on WV/CEI field experience mapping several systems. We conduct mapping in two passes. The first pass is to collect structure location and rim elevations using GPS. We can cover about 70 structures per day to do this. The data is then mapped and referenced to a datum. It provides us with the structure locations to then snap pipe lines and directions collected during the second pass. The second pass is to collect inverts and pipe information (direction, condition, etc.). We can typically do 40 structures a day in the second pass. This involves opening each structure to collect the necessary information. Our GPS equipments was about $18,000 for the GPS, antenna, Toughbook, training and was purchased for mapping accuracy (specifically for obtaining invert pipe elevations for connectivity). Less expensive units can be purchased, but lose vertical accuracy critical for mappiping pipe flow direction.</t>
  </si>
  <si>
    <t xml:space="preserve">Many municipalities will not have the GIS tools to do the faster delineation and it will still require some review and QA/QC for accuracy. This represents a worst case. </t>
  </si>
  <si>
    <t>Could be nothing. Scaled it to community type using Reese estimate as upper limit. Note that Reese reference is also just an estimate. Rural - 0-20 hours, Suburban -0-40 hours, Urban - 0-60 hours.</t>
  </si>
  <si>
    <t>Varies depending on the amount of construction or newly identified outfalls per year and the amount of updated screening information.  Assume 0-24 hours per year to update ranking with new information.</t>
  </si>
  <si>
    <t>Could be nothing. Scaled it to community type. Rural - 0-16 hours, Suburban -0-24 hours, Urban - 0-40 hours.</t>
  </si>
  <si>
    <t>Additional mapping and report preparation is for a consultant to prepare an annual summary report of the findings of dry weather screening, wet weather screening, and key junction manhole investigations. This would include compilation of field notes and preparation of laboratory data summary tables, summaries of more detailed investigations, and any recommendations for follow-on investigations. It may include some maps to highlight areas where further investigations were performed or need to be performed, particularly if something new was found. This has been scaled to show increasingly more effort from rural to urban. Rural - 16-24 hours, Suburban - 24-40 hours, Urban - 40-60 hours.</t>
  </si>
  <si>
    <t xml:space="preserve">Field mapping and dry weather sampling assumes 2 personnel per day at an average of 16 outfalls per day (based on CEI experience of performing outfall investigations). Equipment/lab includes one-time purchase of a multi-meter and field kits/lab tests for remaining parameters.  Note:  field efforts from PAI 2.1 combined with this PAI.  Assume additional 24-40 hours for mapping and report preparation, which would include reporting for items PAI 4.3.2, 4.3.3 and 4.4.4.   </t>
  </si>
  <si>
    <t xml:space="preserve">Low cost is for generation of a paper map using existing available maps (e.g., subdivision maps) and uses the average of CWP hours. The map may not be 100% accurate and could be missing some structures if done this way. High costs assumes 2 field personnel at 25 structures per day.  Also assumes another 2 hours per field day to pull data into GIS and map.  Assume rental fee of $50/day for GPS unit. This also covers catchment investigations under PAI 4.4.4. See 4.3.2. for field investigation cost. </t>
  </si>
  <si>
    <t>Depends on whether additional data outside the NPDES program is collected and provided to community.</t>
  </si>
  <si>
    <t>Review and summarize catch basin cleaning activities. No tracking/compilation costs covered under Good Housekeeping.</t>
  </si>
  <si>
    <t>Review and summarize street sweeping activities. No tracking/compilation costs covered under Good Housekeeping.</t>
  </si>
  <si>
    <t>Attach annual inspection logs completed under Good Housekeeping and summarize status of maintenance activities.</t>
  </si>
  <si>
    <t>No cost. Incorporated into prioritization matrix.</t>
  </si>
  <si>
    <t>This would be a BMP cost and can be highly variable depending on the BMP selected and implemented. It also will only apply to communities with surface water supplies in the urbanized area, so will impact a limited population. "To the extent feasible" also leaves an opportunity for a community not to do something because they find it too expensive, etc. Does EPA want us to select a few BMPs to include costs for?</t>
  </si>
  <si>
    <t>Information should be generated as part of SWMP and public education program. Materials and measures to be attached to annual report. Most hours for measuring the effectiveness of the program.</t>
  </si>
  <si>
    <t>Investigation will likely involve driving around the subcatchment area to identify construction or sources of erosion, therefore, level of effort can be tied to number of outfalls. Assume up to 20% of outfalls have sediment issues and 1 hour per investigation.</t>
  </si>
  <si>
    <t>Truck purchase = $125,000-$320,000; annual cost for gas, maintenance, insurance; assumes driver's salary is already covered by existing budget)</t>
  </si>
  <si>
    <t>Pennichuck Brook Watershed Feasibility Study</t>
  </si>
  <si>
    <t>Minimum Control Measure</t>
  </si>
  <si>
    <t>Public Education</t>
  </si>
  <si>
    <t>Public Participation</t>
  </si>
  <si>
    <t>rented trucks</t>
  </si>
  <si>
    <t>purchased trucks</t>
  </si>
  <si>
    <t>NOI</t>
  </si>
  <si>
    <t>SWMP</t>
  </si>
  <si>
    <t>Annual Report</t>
  </si>
  <si>
    <t>Overview of Total Cost of Program (over 5 years)</t>
  </si>
  <si>
    <t>Truck purchase = $125,000-$250,000; annual cost for gas, maintenance, insurance; assumes driver's salary is already covered by existing budget.</t>
  </si>
  <si>
    <t>Overview of Annual Cost of Program</t>
  </si>
  <si>
    <t>Clean catch basins (rented truck)</t>
  </si>
  <si>
    <t>Clean catch basins (purchased truck).</t>
  </si>
  <si>
    <t>2.3.2.1</t>
  </si>
  <si>
    <t>2.3.2.1 a &amp; b</t>
  </si>
  <si>
    <t>2.3.2.3</t>
  </si>
  <si>
    <t>2.3.2.4</t>
  </si>
  <si>
    <t>2.3.3.1</t>
  </si>
  <si>
    <t>2.3.3.2</t>
  </si>
  <si>
    <t>2.3.3.3</t>
  </si>
  <si>
    <t>2.3.7.1</t>
  </si>
  <si>
    <t>2.3.7.1 d i &amp; ii</t>
  </si>
  <si>
    <t>2.3.7.1 d ii</t>
  </si>
  <si>
    <t>2.3.7.1 d iii</t>
  </si>
  <si>
    <t>2.3.7.1 d iv</t>
  </si>
  <si>
    <t>2.3.7.1 d v</t>
  </si>
  <si>
    <t>2.3.7.1 d vi</t>
  </si>
  <si>
    <t>2.3.7.1 e</t>
  </si>
  <si>
    <t>2.3.7.1 f</t>
  </si>
  <si>
    <t>2.3.7.2</t>
  </si>
  <si>
    <t>2.3.7.2 b iv</t>
  </si>
  <si>
    <t>2.3.7.2 b v</t>
  </si>
  <si>
    <t>2.3.7.2 b vi</t>
  </si>
  <si>
    <t>2.3.7.2 c</t>
  </si>
  <si>
    <t>2.3.7.2 d</t>
  </si>
  <si>
    <t>2.3.4.7 b &amp; c</t>
  </si>
  <si>
    <t>2.3.4.8</t>
  </si>
  <si>
    <t>2.3.4.8 a</t>
  </si>
  <si>
    <t>2.3.4.8 c</t>
  </si>
  <si>
    <t>2.3.4.8 c i &amp; iii</t>
  </si>
  <si>
    <t>2.3.4.8 c  ii &amp; iii</t>
  </si>
  <si>
    <t>2.3.4.8 d</t>
  </si>
  <si>
    <t>2.3.4.8 d i &amp; ii</t>
  </si>
  <si>
    <t>2.3.4.8 d iii &amp; 2.3.4.9 a</t>
  </si>
  <si>
    <t>2.3.4.2 b</t>
  </si>
  <si>
    <t>2.3.4.8 d iv &amp; 2.3.4.8 e ii b</t>
  </si>
  <si>
    <t>2.3.4.8 d v</t>
  </si>
  <si>
    <t>2.3.4.9 a &amp; 4.3.2</t>
  </si>
  <si>
    <t>2.3.4.8 e</t>
  </si>
  <si>
    <t>2.3.4.8 e i</t>
  </si>
  <si>
    <t>2.3.4.8 e ii a &amp; 2.3.4.9 c i,ii,iii</t>
  </si>
  <si>
    <t>2.3.4.9 c i</t>
  </si>
  <si>
    <t>2.3.4.9 c ii</t>
  </si>
  <si>
    <t>2.3.4.9 c iii</t>
  </si>
  <si>
    <t>2.3.4.8 e ii a &amp; 2.3.4.8 c i,ii,iii</t>
  </si>
  <si>
    <t>2.3.4.8 f</t>
  </si>
  <si>
    <t>2.3.4.8 g</t>
  </si>
  <si>
    <t>2.3.4.11</t>
  </si>
  <si>
    <t>2.3.5</t>
  </si>
  <si>
    <t>2.3.5.3 a</t>
  </si>
  <si>
    <t>2.3.5.3 b</t>
  </si>
  <si>
    <t>2.3.5.3 c</t>
  </si>
  <si>
    <t>2.3.5.3 e</t>
  </si>
  <si>
    <t>2.3.6 d</t>
  </si>
  <si>
    <t>2.3.6 e</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</si>
</sst>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Red]&quot;$&quot;#,##0"/>
    <numFmt numFmtId="173" formatCode="&quot;$&quot;#,##0"/>
    <numFmt numFmtId="174" formatCode="0.0"/>
    <numFmt numFmtId="175" formatCode="#,##0;[Red]#,##0"/>
    <numFmt numFmtId="176" formatCode="&quot;$&quot;#,##0.00"/>
    <numFmt numFmtId="177" formatCode="&quot;Yes&quot;;&quot;Yes&quot;;&quot;No&quot;"/>
    <numFmt numFmtId="178" formatCode="&quot;True&quot;;&quot;True&quot;;&quot;False&quot;"/>
    <numFmt numFmtId="179" formatCode="&quot;On&quot;;&quot;On&quot;;&quot;Off&quot;"/>
    <numFmt numFmtId="180" formatCode="[$€-2]\ #,##0.00_);[Red]\([$€-2]\ #,##0.00\)"/>
    <numFmt numFmtId="181" formatCode="&quot;$&quot;#,##0.0"/>
    <numFmt numFmtId="182" formatCode="[$-409]dddd\,\ mmmm\ dd\,\ yyyy"/>
    <numFmt numFmtId="183" formatCode="[$-409]h:mm:ss\ AM/PM"/>
    <numFmt numFmtId="184" formatCode="&quot;$&quot;#,##0.00;[Red]&quot;$&quot;#,##0.00"/>
    <numFmt numFmtId="185" formatCode="&quot;$&quot;#,##0.0;[Red]&quot;$&quot;#,##0.0"/>
    <numFmt numFmtId="186" formatCode="\$#,##0.00_);[Red]&quot;($&quot;#,##0.00\)"/>
    <numFmt numFmtId="187" formatCode="_(\$* #,##0.00_);_(\$* \(#,##0.00\);_(\$* \-??_);_(@_)"/>
    <numFmt numFmtId="188" formatCode="\$#,##0_);[Red]&quot;($&quot;#,##0\)"/>
    <numFmt numFmtId="189" formatCode="_(* #,##0.0_);_(* \(#,##0.0\);_(* &quot;-&quot;??_);_(@_)"/>
    <numFmt numFmtId="190" formatCode="_(* #,##0_);_(* \(#,##0\);_(* &quot;-&quot;??_);_(@_)"/>
    <numFmt numFmtId="191" formatCode="_(&quot;$&quot;* #,##0.0_);_(&quot;$&quot;* \(#,##0.0\);_(&quot;$&quot;* &quot;-&quot;??_);_(@_)"/>
    <numFmt numFmtId="192" formatCode="_(&quot;$&quot;* #,##0_);_(&quot;$&quot;* \(#,##0\);_(&quot;$&quot;* &quot;-&quot;??_);_(@_)"/>
    <numFmt numFmtId="193" formatCode="m/d/yyyy"/>
    <numFmt numFmtId="194" formatCode="&quot;$&quot;#,##0.000;[Red]&quot;$&quot;#,##0.000"/>
    <numFmt numFmtId="195" formatCode="&quot;$&quot;#,##0.0000;[Red]&quot;$&quot;#,##0.0000"/>
    <numFmt numFmtId="196" formatCode="&quot;$&quot;#,##0.00000;[Red]&quot;$&quot;#,##0.00000"/>
    <numFmt numFmtId="197" formatCode="&quot;$&quot;#,##0.000000;[Red]&quot;$&quot;#,##0.000000"/>
    <numFmt numFmtId="198" formatCode="0.000"/>
    <numFmt numFmtId="199" formatCode="0.0000"/>
  </numFmts>
  <fonts count="54">
    <font>
      <sz val="11"/>
      <color theme="1"/>
      <name val="Calibri"/>
      <family val="2"/>
    </font>
    <font>
      <sz val="11"/>
      <color indexed="8"/>
      <name val="Calibri"/>
      <family val="2"/>
    </font>
    <font>
      <sz val="8"/>
      <name val="Calibri"/>
      <family val="2"/>
    </font>
    <font>
      <sz val="10"/>
      <name val="Times New Roman"/>
      <family val="1"/>
    </font>
    <font>
      <b/>
      <sz val="11"/>
      <color indexed="8"/>
      <name val="Calibri"/>
      <family val="2"/>
    </font>
    <font>
      <sz val="11"/>
      <name val="Times New Roman"/>
      <family val="1"/>
    </font>
    <font>
      <u val="single"/>
      <sz val="10"/>
      <color indexed="12"/>
      <name val="Arial"/>
      <family val="0"/>
    </font>
    <font>
      <sz val="11"/>
      <name val="Calibri"/>
      <family val="2"/>
    </font>
    <font>
      <b/>
      <sz val="10"/>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sz val="11"/>
      <color indexed="10"/>
      <name val="Calibri"/>
      <family val="2"/>
    </font>
    <font>
      <b/>
      <sz val="12"/>
      <color indexed="8"/>
      <name val="Calibri"/>
      <family val="2"/>
    </font>
    <font>
      <i/>
      <sz val="12"/>
      <color indexed="8"/>
      <name val="Calibri"/>
      <family val="2"/>
    </font>
    <font>
      <i/>
      <sz val="11"/>
      <color indexed="8"/>
      <name val="Calibri"/>
      <family val="0"/>
    </font>
    <font>
      <b/>
      <i/>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2"/>
      <color theme="1"/>
      <name val="Calibri"/>
      <family val="2"/>
    </font>
    <font>
      <i/>
      <sz val="12"/>
      <color theme="1"/>
      <name val="Calibri"/>
      <family val="2"/>
    </font>
    <font>
      <i/>
      <sz val="11"/>
      <color theme="1"/>
      <name val="Calibri"/>
      <family val="0"/>
    </font>
    <font>
      <sz val="11"/>
      <color rgb="FF000000"/>
      <name val="Calibri"/>
      <family val="2"/>
    </font>
    <font>
      <b/>
      <sz val="11"/>
      <color rgb="FF000000"/>
      <name val="Calibri"/>
      <family val="2"/>
    </font>
    <font>
      <b/>
      <i/>
      <sz val="11"/>
      <color theme="1"/>
      <name val="Calibri"/>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rgb="FFD9D9D9"/>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color theme="0" tint="-0.3499799966812134"/>
      </left>
      <right style="thin">
        <color theme="0" tint="-0.3499799966812134"/>
      </right>
      <top style="thin">
        <color theme="0" tint="-0.3499799966812134"/>
      </top>
      <bottom style="thin">
        <color theme="0" tint="-0.3499799966812134"/>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color theme="0" tint="-0.3499799966812134"/>
      </left>
      <right style="thin"/>
      <top style="thin">
        <color theme="0" tint="-0.3499799966812134"/>
      </top>
      <bottom style="thin">
        <color theme="0" tint="-0.3499799966812134"/>
      </bottom>
    </border>
    <border>
      <left style="thin"/>
      <right style="thin">
        <color theme="0" tint="-0.3499799966812134"/>
      </right>
      <top style="thin">
        <color theme="0" tint="-0.3499799966812134"/>
      </top>
      <bottom style="thin">
        <color theme="0" tint="-0.3499799966812134"/>
      </bottom>
    </border>
    <border>
      <left style="thin"/>
      <right style="thin">
        <color theme="0" tint="-0.3499799966812134"/>
      </right>
      <top style="thin">
        <color theme="0" tint="-0.3499799966812134"/>
      </top>
      <bottom style="thin"/>
    </border>
    <border>
      <left style="thin">
        <color theme="0" tint="-0.3499799966812134"/>
      </left>
      <right style="thin">
        <color theme="0" tint="-0.3499799966812134"/>
      </right>
      <top style="thin">
        <color theme="0" tint="-0.3499799966812134"/>
      </top>
      <bottom style="thin"/>
    </border>
    <border>
      <left style="thin">
        <color theme="0" tint="-0.3499799966812134"/>
      </left>
      <right style="thin"/>
      <top style="thin">
        <color theme="0" tint="-0.3499799966812134"/>
      </top>
      <bottom style="thin"/>
    </border>
    <border>
      <left style="thin">
        <color theme="0" tint="-0.24997000396251678"/>
      </left>
      <right style="thin">
        <color theme="0" tint="-0.24997000396251678"/>
      </right>
      <top style="thin">
        <color theme="0" tint="-0.24997000396251678"/>
      </top>
      <bottom style="thin">
        <color theme="0" tint="-0.24997000396251678"/>
      </bottom>
    </border>
    <border>
      <left style="thin"/>
      <right style="thin">
        <color theme="0" tint="-0.24997000396251678"/>
      </right>
      <top style="thin">
        <color theme="0" tint="-0.24997000396251678"/>
      </top>
      <bottom style="thin">
        <color theme="0" tint="-0.24997000396251678"/>
      </bottom>
    </border>
    <border>
      <left style="thin">
        <color theme="0" tint="-0.24997000396251678"/>
      </left>
      <right style="thin"/>
      <top style="thin">
        <color theme="0" tint="-0.24997000396251678"/>
      </top>
      <bottom style="thin">
        <color theme="0" tint="-0.24997000396251678"/>
      </bottom>
    </border>
    <border>
      <left style="thin"/>
      <right style="thin">
        <color theme="0" tint="-0.24997000396251678"/>
      </right>
      <top style="thin">
        <color theme="0" tint="-0.24997000396251678"/>
      </top>
      <bottom style="thin"/>
    </border>
    <border>
      <left style="thin">
        <color theme="0" tint="-0.24997000396251678"/>
      </left>
      <right style="thin">
        <color theme="0" tint="-0.24997000396251678"/>
      </right>
      <top style="thin">
        <color theme="0" tint="-0.24997000396251678"/>
      </top>
      <bottom style="thin"/>
    </border>
    <border>
      <left style="thin">
        <color theme="0" tint="-0.24997000396251678"/>
      </left>
      <right style="thin"/>
      <top style="thin">
        <color theme="0" tint="-0.24997000396251678"/>
      </top>
      <bottom style="thin"/>
    </border>
    <border>
      <left style="thin">
        <color theme="0" tint="-0.24997000396251678"/>
      </left>
      <right>
        <color indexed="63"/>
      </right>
      <top style="thin">
        <color theme="0" tint="-0.24997000396251678"/>
      </top>
      <bottom style="thin">
        <color theme="0" tint="-0.24997000396251678"/>
      </bottom>
    </border>
    <border>
      <left>
        <color indexed="63"/>
      </left>
      <right style="thin">
        <color theme="0" tint="-0.24997000396251678"/>
      </right>
      <top style="thin">
        <color theme="0" tint="-0.24997000396251678"/>
      </top>
      <bottom style="thin">
        <color theme="0" tint="-0.24997000396251678"/>
      </bottom>
    </border>
    <border>
      <left>
        <color indexed="63"/>
      </left>
      <right>
        <color indexed="63"/>
      </right>
      <top style="thin">
        <color theme="0" tint="-0.24997000396251678"/>
      </top>
      <bottom style="thin">
        <color theme="0" tint="-0.24997000396251678"/>
      </bottom>
    </border>
    <border>
      <left style="thin">
        <color rgb="FFBFBFBF"/>
      </left>
      <right style="thin">
        <color rgb="FFBFBFBF"/>
      </right>
      <top style="thin">
        <color rgb="FFBFBFBF"/>
      </top>
      <bottom style="thin">
        <color rgb="FFBFBFBF"/>
      </bottom>
    </border>
    <border>
      <left>
        <color indexed="63"/>
      </left>
      <right>
        <color indexed="63"/>
      </right>
      <top style="thin">
        <color theme="0" tint="-0.24997000396251678"/>
      </top>
      <bottom>
        <color indexed="63"/>
      </bottom>
    </border>
    <border>
      <left>
        <color indexed="63"/>
      </left>
      <right style="thin">
        <color rgb="FFBFBFBF"/>
      </right>
      <top style="thin">
        <color rgb="FFBFBFBF"/>
      </top>
      <bottom style="thin">
        <color rgb="FFBFBFBF"/>
      </bottom>
    </border>
    <border>
      <left style="thin"/>
      <right style="thin">
        <color theme="0" tint="-0.24997000396251678"/>
      </right>
      <top style="thin">
        <color theme="0" tint="-0.24997000396251678"/>
      </top>
      <bottom>
        <color indexed="63"/>
      </bottom>
    </border>
    <border>
      <left style="thin">
        <color theme="0" tint="-0.24997000396251678"/>
      </left>
      <right style="thin">
        <color theme="0" tint="-0.24997000396251678"/>
      </right>
      <top style="thin">
        <color theme="0" tint="-0.24997000396251678"/>
      </top>
      <bottom>
        <color indexed="63"/>
      </bottom>
    </border>
    <border>
      <left style="thin">
        <color theme="0" tint="-0.24997000396251678"/>
      </left>
      <right style="thin"/>
      <top style="thin">
        <color theme="0" tint="-0.24997000396251678"/>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color theme="0" tint="-0.3499799966812134"/>
      </left>
      <right style="thin">
        <color theme="0" tint="-0.3499799966812134"/>
      </right>
      <top style="thin"/>
      <bottom>
        <color indexed="63"/>
      </bottom>
    </border>
    <border>
      <left style="thin">
        <color theme="0" tint="-0.3499799966812134"/>
      </left>
      <right style="thin">
        <color theme="0" tint="-0.3499799966812134"/>
      </right>
      <top>
        <color indexed="63"/>
      </top>
      <bottom>
        <color indexed="63"/>
      </bottom>
    </border>
    <border>
      <left style="thin">
        <color theme="0" tint="-0.3499799966812134"/>
      </left>
      <right style="thin">
        <color theme="0" tint="-0.3499799966812134"/>
      </right>
      <top>
        <color indexed="63"/>
      </top>
      <bottom style="thin">
        <color theme="0" tint="-0.3499799966812134"/>
      </bottom>
    </border>
    <border>
      <left style="thin">
        <color theme="0" tint="-0.3499799966812134"/>
      </left>
      <right style="thin"/>
      <top style="thin"/>
      <bottom>
        <color indexed="63"/>
      </bottom>
    </border>
    <border>
      <left style="thin">
        <color theme="0" tint="-0.3499799966812134"/>
      </left>
      <right style="thin"/>
      <top>
        <color indexed="63"/>
      </top>
      <bottom>
        <color indexed="63"/>
      </bottom>
    </border>
    <border>
      <left style="thin">
        <color theme="0" tint="-0.3499799966812134"/>
      </left>
      <right style="thin"/>
      <top>
        <color indexed="63"/>
      </top>
      <bottom style="thin">
        <color theme="0" tint="-0.3499799966812134"/>
      </bottom>
    </border>
    <border>
      <left style="thin"/>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style="thin"/>
      <right style="thin">
        <color theme="0" tint="-0.3499799966812134"/>
      </right>
      <top style="thin"/>
      <bottom>
        <color indexed="63"/>
      </bottom>
    </border>
    <border>
      <left style="thin"/>
      <right style="thin">
        <color theme="0" tint="-0.3499799966812134"/>
      </right>
      <top>
        <color indexed="63"/>
      </top>
      <bottom>
        <color indexed="63"/>
      </bottom>
    </border>
    <border>
      <left style="thin"/>
      <right style="thin">
        <color theme="0" tint="-0.3499799966812134"/>
      </right>
      <top>
        <color indexed="63"/>
      </top>
      <bottom style="thin">
        <color theme="0" tint="-0.3499799966812134"/>
      </bottom>
    </border>
    <border>
      <left style="thin">
        <color theme="0" tint="-0.3499799966812134"/>
      </left>
      <right>
        <color indexed="63"/>
      </right>
      <top style="thin"/>
      <bottom style="thin">
        <color theme="0" tint="-0.3499799966812134"/>
      </bottom>
    </border>
    <border>
      <left>
        <color indexed="63"/>
      </left>
      <right>
        <color indexed="63"/>
      </right>
      <top style="thin"/>
      <bottom style="thin">
        <color theme="0" tint="-0.3499799966812134"/>
      </bottom>
    </border>
    <border>
      <left>
        <color indexed="63"/>
      </left>
      <right style="thin">
        <color theme="0" tint="-0.3499799966812134"/>
      </right>
      <top style="thin"/>
      <bottom style="thin">
        <color theme="0" tint="-0.3499799966812134"/>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bottom>
        <color indexed="63"/>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color indexed="63"/>
      </right>
      <top style="thin"/>
      <bottom>
        <color indexed="63"/>
      </bottom>
    </border>
    <border>
      <left>
        <color indexed="63"/>
      </left>
      <right style="thin">
        <color theme="0" tint="-0.3499799966812134"/>
      </right>
      <top style="thin"/>
      <bottom>
        <color indexed="63"/>
      </bottom>
    </border>
    <border>
      <left style="thin">
        <color theme="0" tint="-0.3499799966812134"/>
      </left>
      <right>
        <color indexed="63"/>
      </right>
      <top>
        <color indexed="63"/>
      </top>
      <bottom>
        <color indexed="63"/>
      </bottom>
    </border>
    <border>
      <left>
        <color indexed="63"/>
      </left>
      <right style="thin">
        <color theme="0" tint="-0.3499799966812134"/>
      </right>
      <top>
        <color indexed="63"/>
      </top>
      <bottom>
        <color indexed="63"/>
      </bottom>
    </border>
    <border>
      <left style="thin">
        <color theme="0" tint="-0.3499799966812134"/>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thin">
        <color theme="0" tint="-0.24997000396251678"/>
      </left>
      <right style="thin">
        <color theme="0" tint="-0.24997000396251678"/>
      </right>
      <top style="thin"/>
      <bottom>
        <color indexed="63"/>
      </bottom>
    </border>
    <border>
      <left style="thin">
        <color theme="0" tint="-0.24997000396251678"/>
      </left>
      <right style="thin">
        <color theme="0" tint="-0.24997000396251678"/>
      </right>
      <top>
        <color indexed="63"/>
      </top>
      <bottom>
        <color indexed="63"/>
      </bottom>
    </border>
    <border>
      <left style="thin">
        <color theme="0" tint="-0.24997000396251678"/>
      </left>
      <right style="thin">
        <color theme="0" tint="-0.24997000396251678"/>
      </right>
      <top>
        <color indexed="63"/>
      </top>
      <bottom style="thin">
        <color theme="0" tint="-0.24997000396251678"/>
      </bottom>
    </border>
    <border>
      <left style="thin">
        <color theme="0" tint="-0.24997000396251678"/>
      </left>
      <right style="thin"/>
      <top style="thin"/>
      <bottom>
        <color indexed="63"/>
      </bottom>
    </border>
    <border>
      <left style="thin">
        <color theme="0" tint="-0.24997000396251678"/>
      </left>
      <right style="thin"/>
      <top>
        <color indexed="63"/>
      </top>
      <bottom>
        <color indexed="63"/>
      </bottom>
    </border>
    <border>
      <left style="thin">
        <color theme="0" tint="-0.24997000396251678"/>
      </left>
      <right style="thin"/>
      <top>
        <color indexed="63"/>
      </top>
      <bottom style="thin">
        <color theme="0" tint="-0.24997000396251678"/>
      </bottom>
    </border>
    <border>
      <left style="thin">
        <color theme="0" tint="-0.24997000396251678"/>
      </left>
      <right style="thin">
        <color theme="0" tint="-0.24997000396251678"/>
      </right>
      <top style="thin"/>
      <bottom style="thin">
        <color theme="0" tint="-0.24997000396251678"/>
      </bottom>
    </border>
    <border>
      <left style="thin">
        <color theme="0" tint="-0.24997000396251678"/>
      </left>
      <right>
        <color indexed="63"/>
      </right>
      <top style="thin"/>
      <bottom style="thin">
        <color theme="0" tint="-0.24997000396251678"/>
      </bottom>
    </border>
    <border>
      <left>
        <color indexed="63"/>
      </left>
      <right>
        <color indexed="63"/>
      </right>
      <top style="thin"/>
      <bottom style="thin">
        <color theme="0" tint="-0.24997000396251678"/>
      </bottom>
    </border>
    <border>
      <left>
        <color indexed="63"/>
      </left>
      <right style="thin">
        <color theme="0" tint="-0.24997000396251678"/>
      </right>
      <top style="thin"/>
      <bottom style="thin">
        <color theme="0" tint="-0.24997000396251678"/>
      </bottom>
    </border>
    <border>
      <left style="thin"/>
      <right style="thin">
        <color theme="0" tint="-0.24997000396251678"/>
      </right>
      <top style="thin"/>
      <bottom>
        <color indexed="63"/>
      </bottom>
    </border>
    <border>
      <left style="thin"/>
      <right style="thin">
        <color theme="0" tint="-0.24997000396251678"/>
      </right>
      <top>
        <color indexed="63"/>
      </top>
      <bottom>
        <color indexed="63"/>
      </bottom>
    </border>
    <border>
      <left style="thin"/>
      <right style="thin">
        <color theme="0" tint="-0.24997000396251678"/>
      </right>
      <top>
        <color indexed="63"/>
      </top>
      <bottom style="thin">
        <color theme="0" tint="-0.24997000396251678"/>
      </botto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color indexed="63"/>
      </right>
      <top>
        <color indexed="63"/>
      </top>
      <bottom style="thin">
        <color theme="0" tint="-0.3499799966812134"/>
      </bottom>
    </border>
    <border>
      <left>
        <color indexed="63"/>
      </left>
      <right style="thin">
        <color theme="0" tint="-0.3499799966812134"/>
      </right>
      <top style="thin">
        <color theme="0" tint="-0.3499799966812134"/>
      </top>
      <bottom>
        <color indexed="63"/>
      </bottom>
    </border>
    <border>
      <left style="thin">
        <color theme="0" tint="-0.24997000396251678"/>
      </left>
      <right>
        <color indexed="63"/>
      </right>
      <top style="thin">
        <color theme="0" tint="-0.24997000396251678"/>
      </top>
      <bottom>
        <color indexed="63"/>
      </bottom>
    </border>
    <border>
      <left>
        <color indexed="63"/>
      </left>
      <right style="thin">
        <color theme="0" tint="-0.24997000396251678"/>
      </right>
      <top style="thin">
        <color theme="0" tint="-0.24997000396251678"/>
      </top>
      <bottom>
        <color indexed="63"/>
      </bottom>
    </border>
    <border>
      <left style="thin">
        <color theme="0" tint="-0.24997000396251678"/>
      </left>
      <right>
        <color indexed="63"/>
      </right>
      <top>
        <color indexed="63"/>
      </top>
      <bottom>
        <color indexed="63"/>
      </bottom>
    </border>
    <border>
      <left>
        <color indexed="63"/>
      </left>
      <right style="thin">
        <color theme="0" tint="-0.24997000396251678"/>
      </right>
      <top>
        <color indexed="63"/>
      </top>
      <bottom>
        <color indexed="63"/>
      </bottom>
    </border>
    <border>
      <left style="thin">
        <color theme="0" tint="-0.24997000396251678"/>
      </left>
      <right>
        <color indexed="63"/>
      </right>
      <top>
        <color indexed="63"/>
      </top>
      <bottom style="thin">
        <color theme="0" tint="-0.24997000396251678"/>
      </bottom>
    </border>
    <border>
      <left>
        <color indexed="63"/>
      </left>
      <right style="thin">
        <color theme="0" tint="-0.24997000396251678"/>
      </right>
      <top>
        <color indexed="63"/>
      </top>
      <bottom style="thin">
        <color theme="0" tint="-0.24997000396251678"/>
      </bottom>
    </border>
    <border>
      <left>
        <color indexed="63"/>
      </left>
      <right>
        <color indexed="63"/>
      </right>
      <top>
        <color indexed="63"/>
      </top>
      <bottom style="thin">
        <color theme="0" tint="-0.24997000396251678"/>
      </bottom>
    </border>
    <border>
      <left>
        <color indexed="63"/>
      </left>
      <right>
        <color indexed="63"/>
      </right>
      <top style="thin"/>
      <bottom style="thin"/>
    </border>
    <border>
      <left>
        <color indexed="63"/>
      </left>
      <right style="thin"/>
      <top style="thin"/>
      <bottom style="thin"/>
    </border>
    <border>
      <left style="thin">
        <color theme="0" tint="-0.24997000396251678"/>
      </left>
      <right>
        <color indexed="63"/>
      </right>
      <top style="thin">
        <color theme="0" tint="-0.24997000396251678"/>
      </top>
      <bottom style="thin">
        <color theme="0" tint="-0.3499799966812134"/>
      </bottom>
    </border>
    <border>
      <left>
        <color indexed="63"/>
      </left>
      <right>
        <color indexed="63"/>
      </right>
      <top style="thin">
        <color theme="0" tint="-0.24997000396251678"/>
      </top>
      <bottom style="thin">
        <color theme="0" tint="-0.3499799966812134"/>
      </bottom>
    </border>
    <border>
      <left>
        <color indexed="63"/>
      </left>
      <right style="thin">
        <color theme="0" tint="-0.24997000396251678"/>
      </right>
      <top style="thin">
        <color theme="0" tint="-0.24997000396251678"/>
      </top>
      <bottom style="thin">
        <color theme="0" tint="-0.3499799966812134"/>
      </bottom>
    </border>
    <border>
      <left style="thin">
        <color theme="0" tint="-0.24997000396251678"/>
      </left>
      <right style="thin">
        <color theme="0" tint="-0.24997000396251678"/>
      </right>
      <top style="thin"/>
      <bottom style="thin"/>
    </border>
    <border>
      <left style="thin">
        <color theme="0" tint="-0.24997000396251678"/>
      </left>
      <right>
        <color indexed="63"/>
      </right>
      <top style="thin">
        <color rgb="FFBFBFBF"/>
      </top>
      <bottom style="thin">
        <color theme="0" tint="-0.24997000396251678"/>
      </bottom>
    </border>
    <border>
      <left>
        <color indexed="63"/>
      </left>
      <right style="thin">
        <color rgb="FFBFBFBF"/>
      </right>
      <top style="thin">
        <color rgb="FFBFBFBF"/>
      </top>
      <bottom style="thin">
        <color theme="0" tint="-0.24997000396251678"/>
      </bottom>
    </border>
    <border>
      <left style="thin">
        <color rgb="FFBFBFBF"/>
      </left>
      <right>
        <color indexed="63"/>
      </right>
      <top style="thin">
        <color rgb="FFBFBFBF"/>
      </top>
      <bottom style="thin">
        <color theme="0" tint="-0.24997000396251678"/>
      </bottom>
    </border>
    <border>
      <left>
        <color indexed="63"/>
      </left>
      <right style="thin">
        <color theme="0" tint="-0.24997000396251678"/>
      </right>
      <top style="thin">
        <color rgb="FFBFBFBF"/>
      </top>
      <bottom style="thin">
        <color theme="0" tint="-0.24997000396251678"/>
      </bottom>
    </border>
    <border>
      <left style="thin">
        <color theme="0" tint="-0.24997000396251678"/>
      </left>
      <right>
        <color indexed="63"/>
      </right>
      <top style="thin">
        <color theme="0" tint="-0.24997000396251678"/>
      </top>
      <bottom style="thin">
        <color rgb="FFBFBFBF"/>
      </bottom>
    </border>
    <border>
      <left>
        <color indexed="63"/>
      </left>
      <right>
        <color indexed="63"/>
      </right>
      <top style="thin">
        <color theme="0" tint="-0.24997000396251678"/>
      </top>
      <bottom style="thin">
        <color rgb="FFBFBFBF"/>
      </bottom>
    </border>
    <border>
      <left>
        <color indexed="63"/>
      </left>
      <right style="thin">
        <color theme="0" tint="-0.24997000396251678"/>
      </right>
      <top style="thin">
        <color theme="0" tint="-0.24997000396251678"/>
      </top>
      <bottom style="thin">
        <color rgb="FFBFBFB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30">
    <xf numFmtId="0" fontId="0" fillId="0" borderId="0" xfId="0" applyFont="1" applyAlignment="1">
      <alignment/>
    </xf>
    <xf numFmtId="0" fontId="0" fillId="0" borderId="0" xfId="0" applyAlignment="1">
      <alignment horizontal="center"/>
    </xf>
    <xf numFmtId="0" fontId="0" fillId="0" borderId="0" xfId="0" applyFill="1" applyAlignment="1">
      <alignment/>
    </xf>
    <xf numFmtId="0" fontId="0" fillId="0" borderId="0" xfId="0" applyFill="1" applyAlignment="1">
      <alignment horizontal="center"/>
    </xf>
    <xf numFmtId="0" fontId="46" fillId="0" borderId="0" xfId="0" applyFont="1" applyAlignment="1">
      <alignment/>
    </xf>
    <xf numFmtId="0" fontId="0" fillId="0" borderId="0" xfId="0" applyFont="1" applyAlignment="1">
      <alignment/>
    </xf>
    <xf numFmtId="172" fontId="0" fillId="0" borderId="0" xfId="0" applyNumberFormat="1" applyAlignment="1">
      <alignment/>
    </xf>
    <xf numFmtId="0" fontId="0" fillId="0" borderId="0" xfId="0" applyAlignment="1">
      <alignment wrapText="1"/>
    </xf>
    <xf numFmtId="0" fontId="0" fillId="0" borderId="0" xfId="0" applyFill="1" applyAlignment="1">
      <alignment horizontal="center" wrapText="1"/>
    </xf>
    <xf numFmtId="0" fontId="0" fillId="0" borderId="0" xfId="0" applyFont="1" applyFill="1" applyAlignment="1">
      <alignment horizontal="center"/>
    </xf>
    <xf numFmtId="0" fontId="0" fillId="0" borderId="0" xfId="0" applyFont="1" applyFill="1" applyAlignment="1">
      <alignment horizontal="left"/>
    </xf>
    <xf numFmtId="0" fontId="3" fillId="0" borderId="0" xfId="0" applyFont="1" applyBorder="1" applyAlignment="1">
      <alignment horizontal="center" wrapText="1"/>
    </xf>
    <xf numFmtId="0" fontId="0" fillId="0" borderId="0" xfId="0" applyFont="1" applyAlignment="1">
      <alignment horizontal="center" vertical="center"/>
    </xf>
    <xf numFmtId="0" fontId="48" fillId="0" borderId="0" xfId="0" applyFont="1" applyAlignment="1">
      <alignment horizontal="center" vertical="center"/>
    </xf>
    <xf numFmtId="0" fontId="49" fillId="0" borderId="0" xfId="0" applyFont="1" applyAlignment="1">
      <alignment horizontal="center" vertical="center"/>
    </xf>
    <xf numFmtId="3" fontId="0" fillId="0" borderId="0" xfId="0" applyNumberFormat="1" applyAlignment="1">
      <alignment horizontal="center" vertical="center"/>
    </xf>
    <xf numFmtId="0" fontId="0" fillId="0" borderId="0" xfId="0" applyAlignment="1">
      <alignment horizontal="center" vertical="center"/>
    </xf>
    <xf numFmtId="1" fontId="0" fillId="0" borderId="0" xfId="0" applyNumberFormat="1" applyAlignment="1">
      <alignment horizontal="center" vertical="center"/>
    </xf>
    <xf numFmtId="9" fontId="0" fillId="0" borderId="0" xfId="0" applyNumberFormat="1" applyAlignment="1">
      <alignment horizontal="center" vertical="center"/>
    </xf>
    <xf numFmtId="3" fontId="0" fillId="0" borderId="0" xfId="42" applyNumberFormat="1" applyFont="1" applyAlignment="1">
      <alignment horizontal="center" vertical="center"/>
    </xf>
    <xf numFmtId="0" fontId="0" fillId="0" borderId="0" xfId="0" applyFont="1" applyAlignment="1">
      <alignment horizontal="center" vertical="center" wrapText="1"/>
    </xf>
    <xf numFmtId="1" fontId="0" fillId="0" borderId="0" xfId="0" applyNumberFormat="1" applyAlignment="1">
      <alignment/>
    </xf>
    <xf numFmtId="1" fontId="0" fillId="0" borderId="0" xfId="0" applyNumberFormat="1" applyAlignment="1">
      <alignment horizontal="right"/>
    </xf>
    <xf numFmtId="172" fontId="0" fillId="0" borderId="0" xfId="0" applyNumberFormat="1" applyAlignment="1">
      <alignment horizontal="right"/>
    </xf>
    <xf numFmtId="173" fontId="0" fillId="0" borderId="0" xfId="0" applyNumberFormat="1" applyAlignment="1">
      <alignment/>
    </xf>
    <xf numFmtId="173" fontId="0" fillId="0" borderId="0" xfId="0" applyNumberFormat="1" applyAlignment="1">
      <alignment horizontal="right"/>
    </xf>
    <xf numFmtId="0" fontId="0" fillId="0" borderId="0" xfId="0" applyBorder="1" applyAlignment="1">
      <alignment/>
    </xf>
    <xf numFmtId="0" fontId="0" fillId="0" borderId="0" xfId="0" applyAlignment="1">
      <alignment horizontal="right"/>
    </xf>
    <xf numFmtId="3" fontId="0" fillId="0" borderId="0" xfId="0" applyNumberFormat="1" applyAlignment="1">
      <alignment/>
    </xf>
    <xf numFmtId="0" fontId="3" fillId="0" borderId="0" xfId="0" applyFont="1" applyAlignment="1">
      <alignment/>
    </xf>
    <xf numFmtId="0" fontId="3" fillId="0" borderId="0" xfId="0" applyFont="1" applyAlignment="1">
      <alignment horizontal="right"/>
    </xf>
    <xf numFmtId="170" fontId="3" fillId="0" borderId="0" xfId="44" applyFont="1" applyFill="1" applyBorder="1" applyAlignment="1" applyProtection="1">
      <alignment horizontal="left"/>
      <protection/>
    </xf>
    <xf numFmtId="0" fontId="5" fillId="0" borderId="0" xfId="0" applyFont="1" applyAlignment="1">
      <alignment/>
    </xf>
    <xf numFmtId="186" fontId="5" fillId="0" borderId="0" xfId="0" applyNumberFormat="1" applyFont="1" applyAlignment="1">
      <alignment/>
    </xf>
    <xf numFmtId="0" fontId="5" fillId="0" borderId="0" xfId="0" applyFont="1" applyAlignment="1">
      <alignment horizontal="left"/>
    </xf>
    <xf numFmtId="187" fontId="5" fillId="0" borderId="0" xfId="0" applyNumberFormat="1" applyFont="1" applyAlignment="1">
      <alignment/>
    </xf>
    <xf numFmtId="0" fontId="6" fillId="0" borderId="0" xfId="53" applyNumberFormat="1" applyFont="1" applyFill="1" applyBorder="1" applyAlignment="1" applyProtection="1">
      <alignment/>
      <protection/>
    </xf>
    <xf numFmtId="188" fontId="5" fillId="0" borderId="0" xfId="0" applyNumberFormat="1" applyFont="1" applyAlignment="1">
      <alignment/>
    </xf>
    <xf numFmtId="170" fontId="0" fillId="0" borderId="0" xfId="44" applyAlignment="1">
      <alignment/>
    </xf>
    <xf numFmtId="167" fontId="5" fillId="0" borderId="0" xfId="0" applyNumberFormat="1" applyFont="1" applyAlignment="1">
      <alignment/>
    </xf>
    <xf numFmtId="0" fontId="5" fillId="0" borderId="0" xfId="0" applyFont="1" applyAlignment="1">
      <alignment horizontal="right"/>
    </xf>
    <xf numFmtId="165" fontId="0" fillId="0" borderId="0" xfId="0" applyNumberFormat="1" applyAlignment="1">
      <alignment/>
    </xf>
    <xf numFmtId="1" fontId="0" fillId="0" borderId="0" xfId="0" applyNumberFormat="1" applyAlignment="1" quotePrefix="1">
      <alignment/>
    </xf>
    <xf numFmtId="172" fontId="0" fillId="0" borderId="0" xfId="0" applyNumberFormat="1" applyFill="1" applyBorder="1" applyAlignment="1">
      <alignment wrapText="1"/>
    </xf>
    <xf numFmtId="2" fontId="0" fillId="0" borderId="0" xfId="0" applyNumberFormat="1" applyAlignment="1">
      <alignment/>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Alignment="1">
      <alignment vertical="center"/>
    </xf>
    <xf numFmtId="0" fontId="46" fillId="0" borderId="0" xfId="0" applyFont="1" applyAlignment="1">
      <alignment/>
    </xf>
    <xf numFmtId="0" fontId="46" fillId="0" borderId="0" xfId="0" applyFont="1" applyAlignment="1">
      <alignment vertical="center"/>
    </xf>
    <xf numFmtId="173" fontId="0" fillId="0" borderId="10" xfId="0" applyNumberFormat="1" applyFont="1" applyBorder="1" applyAlignment="1">
      <alignment horizontal="center" vertical="center"/>
    </xf>
    <xf numFmtId="173" fontId="0" fillId="0" borderId="11" xfId="0" applyNumberFormat="1" applyFont="1" applyBorder="1" applyAlignment="1">
      <alignment horizontal="center" vertical="center"/>
    </xf>
    <xf numFmtId="173" fontId="47" fillId="0" borderId="0" xfId="0" applyNumberFormat="1" applyFont="1" applyAlignment="1">
      <alignment/>
    </xf>
    <xf numFmtId="1" fontId="0" fillId="0" borderId="12" xfId="0" applyNumberFormat="1" applyBorder="1" applyAlignment="1">
      <alignment horizontal="center" vertical="center"/>
    </xf>
    <xf numFmtId="173" fontId="0" fillId="0" borderId="12" xfId="0" applyNumberFormat="1" applyBorder="1" applyAlignment="1">
      <alignment horizontal="center" vertical="center"/>
    </xf>
    <xf numFmtId="1" fontId="0" fillId="0" borderId="0" xfId="0" applyNumberFormat="1" applyBorder="1" applyAlignment="1">
      <alignment horizontal="center" vertical="center"/>
    </xf>
    <xf numFmtId="173" fontId="0" fillId="0" borderId="0" xfId="0" applyNumberFormat="1" applyAlignment="1">
      <alignment horizontal="center" vertical="center"/>
    </xf>
    <xf numFmtId="0" fontId="0" fillId="0" borderId="0" xfId="0" applyAlignment="1">
      <alignment horizontal="right" vertical="center"/>
    </xf>
    <xf numFmtId="173" fontId="0" fillId="0" borderId="0" xfId="0" applyNumberFormat="1" applyAlignment="1">
      <alignment horizontal="right" vertical="center"/>
    </xf>
    <xf numFmtId="1" fontId="0" fillId="0" borderId="0" xfId="0" applyNumberFormat="1" applyAlignment="1">
      <alignment horizontal="righ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72" fontId="0" fillId="0" borderId="0" xfId="0" applyNumberFormat="1" applyAlignment="1">
      <alignment horizontal="center" vertical="center"/>
    </xf>
    <xf numFmtId="0" fontId="0" fillId="33" borderId="0" xfId="0" applyFill="1" applyAlignment="1">
      <alignment/>
    </xf>
    <xf numFmtId="165" fontId="0" fillId="0" borderId="0" xfId="0" applyNumberFormat="1" applyAlignment="1">
      <alignment horizontal="right"/>
    </xf>
    <xf numFmtId="1" fontId="0" fillId="0" borderId="0" xfId="0" applyNumberFormat="1" applyAlignment="1" quotePrefix="1">
      <alignment horizontal="right"/>
    </xf>
    <xf numFmtId="0" fontId="0" fillId="0" borderId="0" xfId="0" applyAlignment="1">
      <alignment horizontal="right" wrapText="1"/>
    </xf>
    <xf numFmtId="173" fontId="0" fillId="34" borderId="12" xfId="0" applyNumberFormat="1" applyFill="1" applyBorder="1" applyAlignment="1">
      <alignment horizontal="center" vertical="center"/>
    </xf>
    <xf numFmtId="3" fontId="0" fillId="34" borderId="12" xfId="0" applyNumberFormat="1" applyFill="1" applyBorder="1" applyAlignment="1">
      <alignment horizontal="center" vertical="center"/>
    </xf>
    <xf numFmtId="1" fontId="0" fillId="34" borderId="13" xfId="42" applyNumberFormat="1" applyFont="1" applyFill="1" applyBorder="1" applyAlignment="1">
      <alignment horizontal="center" vertical="center"/>
    </xf>
    <xf numFmtId="0" fontId="46" fillId="35" borderId="14" xfId="0" applyFont="1" applyFill="1" applyBorder="1" applyAlignment="1">
      <alignment horizontal="center" vertical="center"/>
    </xf>
    <xf numFmtId="0" fontId="0" fillId="0" borderId="15" xfId="0" applyBorder="1" applyAlignment="1">
      <alignment horizontal="center" vertical="center"/>
    </xf>
    <xf numFmtId="0" fontId="0" fillId="36" borderId="15" xfId="0" applyFont="1" applyFill="1" applyBorder="1" applyAlignment="1">
      <alignment horizontal="center" vertical="center" wrapText="1"/>
    </xf>
    <xf numFmtId="0" fontId="0" fillId="13" borderId="15" xfId="0" applyFill="1" applyBorder="1" applyAlignment="1">
      <alignment horizontal="center" vertical="center"/>
    </xf>
    <xf numFmtId="173" fontId="0" fillId="0" borderId="15" xfId="0" applyNumberFormat="1" applyFont="1" applyBorder="1" applyAlignment="1">
      <alignment horizontal="center" vertical="center"/>
    </xf>
    <xf numFmtId="0" fontId="0" fillId="0" borderId="15" xfId="0" applyBorder="1" applyAlignment="1">
      <alignment horizontal="center" vertical="center"/>
    </xf>
    <xf numFmtId="6" fontId="0" fillId="0" borderId="15" xfId="0" applyNumberFormat="1" applyBorder="1" applyAlignment="1">
      <alignment horizontal="center" vertical="center"/>
    </xf>
    <xf numFmtId="0" fontId="0" fillId="36" borderId="15" xfId="0" applyFill="1" applyBorder="1" applyAlignment="1">
      <alignment horizontal="center" vertical="center"/>
    </xf>
    <xf numFmtId="0" fontId="0" fillId="0" borderId="15" xfId="0" applyBorder="1" applyAlignment="1">
      <alignment horizontal="center" vertical="center" wrapText="1"/>
    </xf>
    <xf numFmtId="0" fontId="0" fillId="35" borderId="15" xfId="0" applyFill="1" applyBorder="1" applyAlignment="1">
      <alignment horizontal="center" vertical="center"/>
    </xf>
    <xf numFmtId="173" fontId="0" fillId="35" borderId="15" xfId="0" applyNumberFormat="1" applyFont="1" applyFill="1" applyBorder="1" applyAlignment="1">
      <alignment horizontal="center" vertical="center"/>
    </xf>
    <xf numFmtId="173" fontId="0" fillId="0" borderId="15" xfId="0" applyNumberFormat="1" applyFont="1" applyBorder="1" applyAlignment="1">
      <alignment horizontal="center" vertical="center"/>
    </xf>
    <xf numFmtId="0" fontId="0" fillId="0" borderId="15" xfId="0" applyFill="1" applyBorder="1" applyAlignment="1">
      <alignment horizontal="center" vertical="center" wrapText="1"/>
    </xf>
    <xf numFmtId="0" fontId="0" fillId="36" borderId="16" xfId="0" applyFill="1" applyBorder="1" applyAlignment="1">
      <alignment horizontal="center" vertical="center"/>
    </xf>
    <xf numFmtId="173" fontId="0" fillId="36" borderId="0" xfId="0" applyNumberFormat="1" applyFill="1" applyBorder="1" applyAlignment="1">
      <alignment horizontal="center" vertical="center"/>
    </xf>
    <xf numFmtId="6" fontId="0" fillId="36" borderId="0" xfId="0" applyNumberFormat="1" applyFill="1" applyBorder="1" applyAlignment="1">
      <alignment horizontal="center" vertical="center"/>
    </xf>
    <xf numFmtId="0" fontId="0" fillId="36" borderId="0" xfId="0" applyFill="1" applyBorder="1" applyAlignment="1">
      <alignment horizontal="center" vertical="center"/>
    </xf>
    <xf numFmtId="0" fontId="0" fillId="36" borderId="12" xfId="0" applyFill="1" applyBorder="1" applyAlignment="1">
      <alignment horizontal="center" vertical="center"/>
    </xf>
    <xf numFmtId="0" fontId="0" fillId="13" borderId="16" xfId="0" applyFill="1" applyBorder="1" applyAlignment="1">
      <alignment horizontal="center" vertical="center"/>
    </xf>
    <xf numFmtId="173" fontId="0" fillId="13" borderId="0" xfId="0" applyNumberFormat="1" applyFill="1" applyBorder="1" applyAlignment="1">
      <alignment horizontal="center" vertical="center"/>
    </xf>
    <xf numFmtId="0" fontId="0" fillId="13" borderId="0" xfId="0" applyFill="1" applyBorder="1" applyAlignment="1">
      <alignment horizontal="center" vertical="center"/>
    </xf>
    <xf numFmtId="0" fontId="0" fillId="13" borderId="12" xfId="0" applyFill="1" applyBorder="1" applyAlignment="1">
      <alignment horizontal="center" vertical="center"/>
    </xf>
    <xf numFmtId="0" fontId="0" fillId="3" borderId="16" xfId="0" applyFill="1" applyBorder="1" applyAlignment="1">
      <alignment horizontal="center" vertical="center"/>
    </xf>
    <xf numFmtId="172" fontId="0" fillId="3" borderId="0" xfId="0" applyNumberFormat="1" applyFill="1" applyBorder="1" applyAlignment="1">
      <alignment horizontal="center" vertical="center"/>
    </xf>
    <xf numFmtId="0" fontId="0" fillId="3" borderId="0" xfId="0" applyFill="1" applyBorder="1" applyAlignment="1">
      <alignment horizontal="center" vertical="center"/>
    </xf>
    <xf numFmtId="0" fontId="0" fillId="3" borderId="12" xfId="0" applyFill="1" applyBorder="1" applyAlignment="1">
      <alignment horizontal="center" vertical="center"/>
    </xf>
    <xf numFmtId="0" fontId="0" fillId="35" borderId="17" xfId="0" applyFill="1" applyBorder="1" applyAlignment="1">
      <alignment horizontal="center" vertical="center"/>
    </xf>
    <xf numFmtId="172" fontId="0" fillId="35" borderId="18" xfId="0" applyNumberFormat="1" applyFill="1" applyBorder="1" applyAlignment="1">
      <alignment horizontal="center" vertical="center"/>
    </xf>
    <xf numFmtId="0" fontId="0" fillId="35" borderId="18" xfId="0" applyFill="1" applyBorder="1" applyAlignment="1">
      <alignment horizontal="center" vertical="center"/>
    </xf>
    <xf numFmtId="0" fontId="0" fillId="35" borderId="13" xfId="0" applyFill="1" applyBorder="1" applyAlignment="1">
      <alignment horizontal="center" vertical="center"/>
    </xf>
    <xf numFmtId="0" fontId="46" fillId="35" borderId="16" xfId="0" applyFont="1" applyFill="1" applyBorder="1" applyAlignment="1">
      <alignment horizontal="center" vertical="center"/>
    </xf>
    <xf numFmtId="0" fontId="50" fillId="0" borderId="0" xfId="0" applyFont="1" applyBorder="1" applyAlignment="1">
      <alignment horizontal="center" vertical="center"/>
    </xf>
    <xf numFmtId="0" fontId="50" fillId="0" borderId="12" xfId="0" applyFont="1" applyBorder="1" applyAlignment="1">
      <alignment horizontal="center" vertical="center"/>
    </xf>
    <xf numFmtId="0" fontId="0" fillId="0" borderId="19" xfId="0" applyBorder="1" applyAlignment="1">
      <alignment horizontal="center" vertical="center"/>
    </xf>
    <xf numFmtId="0" fontId="0" fillId="0" borderId="20" xfId="0" applyFill="1" applyBorder="1" applyAlignment="1">
      <alignment horizontal="center" vertical="center"/>
    </xf>
    <xf numFmtId="0" fontId="0" fillId="0" borderId="19" xfId="0" applyBorder="1" applyAlignment="1">
      <alignment horizontal="center" vertical="center" wrapText="1"/>
    </xf>
    <xf numFmtId="0" fontId="0" fillId="35" borderId="21" xfId="0" applyFill="1" applyBorder="1" applyAlignment="1">
      <alignment horizontal="center" vertical="center"/>
    </xf>
    <xf numFmtId="0" fontId="0" fillId="35" borderId="22" xfId="0" applyFill="1" applyBorder="1" applyAlignment="1">
      <alignment horizontal="center" vertical="center"/>
    </xf>
    <xf numFmtId="0" fontId="0" fillId="35" borderId="22" xfId="0" applyFill="1" applyBorder="1" applyAlignment="1">
      <alignment horizontal="center" vertical="center" wrapText="1"/>
    </xf>
    <xf numFmtId="0" fontId="0" fillId="35" borderId="22" xfId="0" applyFont="1" applyFill="1" applyBorder="1" applyAlignment="1">
      <alignment horizontal="center" vertical="center"/>
    </xf>
    <xf numFmtId="173" fontId="0" fillId="35" borderId="22" xfId="0" applyNumberFormat="1" applyFont="1" applyFill="1" applyBorder="1" applyAlignment="1">
      <alignment horizontal="center" vertical="center"/>
    </xf>
    <xf numFmtId="0" fontId="46" fillId="35" borderId="22" xfId="0" applyFont="1" applyFill="1" applyBorder="1" applyAlignment="1">
      <alignment horizontal="right" vertical="center"/>
    </xf>
    <xf numFmtId="172" fontId="46" fillId="35" borderId="22" xfId="0" applyNumberFormat="1" applyFont="1" applyFill="1" applyBorder="1" applyAlignment="1">
      <alignment horizontal="center" vertical="center"/>
    </xf>
    <xf numFmtId="0" fontId="0" fillId="35" borderId="23" xfId="0" applyFill="1" applyBorder="1" applyAlignment="1">
      <alignment horizontal="center" vertical="center" wrapText="1"/>
    </xf>
    <xf numFmtId="173" fontId="46" fillId="37" borderId="15" xfId="0" applyNumberFormat="1" applyFont="1" applyFill="1" applyBorder="1" applyAlignment="1">
      <alignment horizontal="center" vertical="center"/>
    </xf>
    <xf numFmtId="0" fontId="0" fillId="33" borderId="15" xfId="0" applyFill="1" applyBorder="1" applyAlignment="1">
      <alignment horizontal="center" vertical="center"/>
    </xf>
    <xf numFmtId="0" fontId="0" fillId="33" borderId="19" xfId="0" applyFill="1" applyBorder="1" applyAlignment="1">
      <alignment horizontal="center" vertical="center"/>
    </xf>
    <xf numFmtId="173" fontId="0" fillId="34" borderId="13" xfId="0" applyNumberFormat="1" applyFill="1" applyBorder="1" applyAlignment="1">
      <alignment horizontal="center" vertical="center"/>
    </xf>
    <xf numFmtId="0" fontId="0" fillId="0" borderId="24" xfId="0" applyBorder="1" applyAlignment="1">
      <alignment horizontal="center" vertical="center"/>
    </xf>
    <xf numFmtId="0" fontId="0" fillId="0" borderId="24" xfId="0" applyBorder="1" applyAlignment="1">
      <alignment horizontal="center" vertical="center" wrapText="1"/>
    </xf>
    <xf numFmtId="0" fontId="0" fillId="36" borderId="24" xfId="0" applyFont="1" applyFill="1" applyBorder="1" applyAlignment="1">
      <alignment horizontal="center" vertical="center" wrapText="1"/>
    </xf>
    <xf numFmtId="0" fontId="0" fillId="0" borderId="24" xfId="0" applyFill="1" applyBorder="1" applyAlignment="1">
      <alignment horizontal="center" vertical="center"/>
    </xf>
    <xf numFmtId="173" fontId="0" fillId="0" borderId="24" xfId="0" applyNumberFormat="1" applyFont="1" applyBorder="1" applyAlignment="1">
      <alignment horizontal="center" vertical="center"/>
    </xf>
    <xf numFmtId="0" fontId="0" fillId="0" borderId="24" xfId="0" applyNumberFormat="1" applyFont="1" applyBorder="1" applyAlignment="1">
      <alignment horizontal="center" vertical="center"/>
    </xf>
    <xf numFmtId="0" fontId="0" fillId="36" borderId="24" xfId="0" applyFill="1" applyBorder="1" applyAlignment="1">
      <alignment horizontal="center" vertical="center" wrapText="1"/>
    </xf>
    <xf numFmtId="6" fontId="0" fillId="0" borderId="24" xfId="0" applyNumberFormat="1" applyBorder="1" applyAlignment="1">
      <alignment horizontal="center" vertical="center"/>
    </xf>
    <xf numFmtId="0" fontId="0" fillId="36" borderId="24" xfId="0" applyFont="1"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35" borderId="27" xfId="0" applyFill="1" applyBorder="1" applyAlignment="1">
      <alignment horizontal="center" vertical="center"/>
    </xf>
    <xf numFmtId="0" fontId="0" fillId="35" borderId="28" xfId="0" applyFill="1" applyBorder="1" applyAlignment="1">
      <alignment horizontal="center" vertical="center"/>
    </xf>
    <xf numFmtId="0" fontId="51" fillId="35" borderId="28" xfId="0" applyFont="1" applyFill="1" applyBorder="1" applyAlignment="1">
      <alignment horizontal="center" vertical="center"/>
    </xf>
    <xf numFmtId="173" fontId="0" fillId="35" borderId="28" xfId="0" applyNumberFormat="1" applyFont="1" applyFill="1" applyBorder="1" applyAlignment="1">
      <alignment horizontal="center" vertical="center"/>
    </xf>
    <xf numFmtId="0" fontId="46" fillId="35" borderId="28" xfId="0" applyFont="1" applyFill="1" applyBorder="1" applyAlignment="1">
      <alignment horizontal="right" vertical="center"/>
    </xf>
    <xf numFmtId="172" fontId="46" fillId="35" borderId="28" xfId="0" applyNumberFormat="1" applyFont="1" applyFill="1" applyBorder="1" applyAlignment="1">
      <alignment horizontal="center" vertical="center"/>
    </xf>
    <xf numFmtId="0" fontId="0" fillId="35" borderId="29" xfId="0" applyFill="1" applyBorder="1" applyAlignment="1">
      <alignment horizontal="center" vertical="center" wrapText="1"/>
    </xf>
    <xf numFmtId="0" fontId="46" fillId="37" borderId="15" xfId="0" applyFont="1" applyFill="1" applyBorder="1" applyAlignment="1">
      <alignment horizontal="center" vertical="center"/>
    </xf>
    <xf numFmtId="1" fontId="46" fillId="37" borderId="15" xfId="0" applyNumberFormat="1" applyFont="1" applyFill="1" applyBorder="1" applyAlignment="1">
      <alignment horizontal="center" vertical="center" wrapText="1"/>
    </xf>
    <xf numFmtId="0" fontId="46" fillId="0" borderId="0" xfId="0" applyFont="1" applyAlignment="1">
      <alignment horizontal="center"/>
    </xf>
    <xf numFmtId="0" fontId="0" fillId="0" borderId="12" xfId="0" applyBorder="1" applyAlignment="1">
      <alignment horizontal="center" vertical="center"/>
    </xf>
    <xf numFmtId="0" fontId="0" fillId="0" borderId="12" xfId="0" applyFill="1" applyBorder="1" applyAlignment="1">
      <alignment horizontal="center" vertical="center"/>
    </xf>
    <xf numFmtId="173" fontId="0" fillId="0" borderId="18" xfId="0" applyNumberFormat="1"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33" borderId="0" xfId="0" applyFill="1" applyAlignment="1">
      <alignment horizontal="center" vertical="center"/>
    </xf>
    <xf numFmtId="0" fontId="46" fillId="35" borderId="15" xfId="0" applyFont="1" applyFill="1" applyBorder="1" applyAlignment="1">
      <alignment horizontal="center" vertical="center"/>
    </xf>
    <xf numFmtId="0" fontId="46" fillId="35" borderId="15" xfId="0" applyFont="1" applyFill="1" applyBorder="1" applyAlignment="1">
      <alignment horizontal="center" vertical="center" wrapText="1"/>
    </xf>
    <xf numFmtId="0" fontId="0" fillId="0" borderId="15" xfId="0" applyFill="1" applyBorder="1" applyAlignment="1">
      <alignment horizontal="center" vertical="center"/>
    </xf>
    <xf numFmtId="0" fontId="0" fillId="13" borderId="15" xfId="0" applyFont="1" applyFill="1" applyBorder="1" applyAlignment="1">
      <alignment horizontal="center" vertical="center"/>
    </xf>
    <xf numFmtId="0" fontId="46" fillId="0" borderId="15" xfId="0" applyFont="1" applyBorder="1" applyAlignment="1">
      <alignment horizontal="center" vertical="center"/>
    </xf>
    <xf numFmtId="173" fontId="46" fillId="0" borderId="15" xfId="0" applyNumberFormat="1" applyFont="1" applyBorder="1" applyAlignment="1">
      <alignment horizontal="center" vertical="center"/>
    </xf>
    <xf numFmtId="1" fontId="46" fillId="0" borderId="15" xfId="0" applyNumberFormat="1" applyFont="1" applyBorder="1" applyAlignment="1">
      <alignment horizontal="center" vertical="center" wrapText="1"/>
    </xf>
    <xf numFmtId="1" fontId="0" fillId="0" borderId="15" xfId="0" applyNumberFormat="1" applyFont="1" applyBorder="1" applyAlignment="1">
      <alignment horizontal="center" vertical="center"/>
    </xf>
    <xf numFmtId="0" fontId="0" fillId="36" borderId="15" xfId="0" applyFont="1" applyFill="1" applyBorder="1" applyAlignment="1">
      <alignment horizontal="center" vertical="center"/>
    </xf>
    <xf numFmtId="0" fontId="46" fillId="35" borderId="15" xfId="0" applyFont="1" applyFill="1" applyBorder="1" applyAlignment="1">
      <alignment horizontal="center" vertical="center"/>
    </xf>
    <xf numFmtId="0" fontId="46" fillId="34" borderId="15" xfId="0" applyFont="1" applyFill="1" applyBorder="1" applyAlignment="1">
      <alignment horizontal="center" vertical="center"/>
    </xf>
    <xf numFmtId="0" fontId="0" fillId="13" borderId="15" xfId="0" applyFill="1" applyBorder="1" applyAlignment="1">
      <alignment horizontal="center" vertical="center" wrapText="1"/>
    </xf>
    <xf numFmtId="0" fontId="0" fillId="36" borderId="15" xfId="0" applyFill="1" applyBorder="1" applyAlignment="1">
      <alignment horizontal="center" vertical="center" wrapText="1"/>
    </xf>
    <xf numFmtId="0" fontId="0" fillId="3" borderId="15" xfId="0" applyFill="1" applyBorder="1" applyAlignment="1">
      <alignment horizontal="center" vertical="center"/>
    </xf>
    <xf numFmtId="173" fontId="0" fillId="3" borderId="15" xfId="0" applyNumberFormat="1" applyFont="1" applyFill="1" applyBorder="1" applyAlignment="1">
      <alignment horizontal="center" vertical="center"/>
    </xf>
    <xf numFmtId="1" fontId="0" fillId="3" borderId="15" xfId="0" applyNumberFormat="1" applyFont="1" applyFill="1" applyBorder="1" applyAlignment="1">
      <alignment horizontal="center" vertical="center"/>
    </xf>
    <xf numFmtId="0" fontId="51" fillId="13" borderId="15" xfId="0" applyFont="1" applyFill="1" applyBorder="1" applyAlignment="1">
      <alignment horizontal="center" vertical="center"/>
    </xf>
    <xf numFmtId="0" fontId="51" fillId="36" borderId="15" xfId="0" applyFont="1" applyFill="1" applyBorder="1" applyAlignment="1">
      <alignment horizontal="center" vertical="center"/>
    </xf>
    <xf numFmtId="0" fontId="0" fillId="36" borderId="15" xfId="0" applyFill="1" applyBorder="1" applyAlignment="1">
      <alignment horizontal="center" vertical="center"/>
    </xf>
    <xf numFmtId="0" fontId="0" fillId="0" borderId="15" xfId="0" applyFont="1" applyBorder="1" applyAlignment="1">
      <alignment horizontal="center" vertical="center"/>
    </xf>
    <xf numFmtId="172" fontId="46" fillId="0" borderId="15" xfId="0" applyNumberFormat="1" applyFont="1" applyBorder="1" applyAlignment="1">
      <alignment horizontal="center" vertical="center"/>
    </xf>
    <xf numFmtId="0" fontId="0" fillId="13" borderId="15" xfId="0" applyFill="1" applyBorder="1" applyAlignment="1">
      <alignment horizontal="center" vertical="center"/>
    </xf>
    <xf numFmtId="0" fontId="51" fillId="0" borderId="15" xfId="0" applyFont="1" applyBorder="1" applyAlignment="1">
      <alignment horizontal="center" vertical="center"/>
    </xf>
    <xf numFmtId="0" fontId="3" fillId="36" borderId="15"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3" fillId="13" borderId="15" xfId="0" applyFont="1" applyFill="1" applyBorder="1" applyAlignment="1">
      <alignment horizontal="center" vertical="center" wrapText="1"/>
    </xf>
    <xf numFmtId="0" fontId="0" fillId="35" borderId="15" xfId="0" applyFill="1" applyBorder="1" applyAlignment="1">
      <alignment horizontal="center" vertical="center"/>
    </xf>
    <xf numFmtId="173" fontId="0" fillId="35" borderId="15" xfId="0" applyNumberFormat="1" applyFont="1" applyFill="1" applyBorder="1" applyAlignment="1">
      <alignment horizontal="center" vertical="center"/>
    </xf>
    <xf numFmtId="172" fontId="46" fillId="35" borderId="15" xfId="0" applyNumberFormat="1" applyFont="1" applyFill="1" applyBorder="1" applyAlignment="1">
      <alignment horizontal="center" vertical="center"/>
    </xf>
    <xf numFmtId="1" fontId="46" fillId="35" borderId="15" xfId="0" applyNumberFormat="1" applyFont="1" applyFill="1" applyBorder="1" applyAlignment="1">
      <alignment horizontal="center" vertical="center"/>
    </xf>
    <xf numFmtId="0" fontId="46" fillId="35" borderId="15" xfId="0" applyFont="1" applyFill="1" applyBorder="1" applyAlignment="1">
      <alignment horizontal="right" vertical="center"/>
    </xf>
    <xf numFmtId="1" fontId="0" fillId="35" borderId="18" xfId="0" applyNumberFormat="1" applyFill="1" applyBorder="1" applyAlignment="1">
      <alignment horizontal="center" vertical="center"/>
    </xf>
    <xf numFmtId="1" fontId="0" fillId="35" borderId="13" xfId="0" applyNumberFormat="1" applyFill="1" applyBorder="1" applyAlignment="1">
      <alignment horizontal="center" vertical="center"/>
    </xf>
    <xf numFmtId="0" fontId="0" fillId="35" borderId="16" xfId="0" applyFill="1" applyBorder="1" applyAlignment="1">
      <alignment horizontal="center" vertical="center"/>
    </xf>
    <xf numFmtId="172" fontId="0" fillId="35" borderId="0" xfId="0" applyNumberFormat="1" applyFill="1" applyBorder="1" applyAlignment="1">
      <alignment horizontal="center" vertical="center"/>
    </xf>
    <xf numFmtId="1" fontId="0" fillId="35" borderId="0" xfId="0" applyNumberFormat="1" applyFill="1" applyBorder="1" applyAlignment="1">
      <alignment horizontal="center" vertical="center"/>
    </xf>
    <xf numFmtId="1" fontId="0" fillId="35" borderId="12" xfId="0" applyNumberFormat="1" applyFill="1" applyBorder="1" applyAlignment="1">
      <alignment horizontal="center" vertical="center"/>
    </xf>
    <xf numFmtId="0" fontId="0" fillId="0" borderId="17" xfId="0" applyBorder="1" applyAlignment="1">
      <alignment vertical="center"/>
    </xf>
    <xf numFmtId="0" fontId="0" fillId="0" borderId="18" xfId="0" applyBorder="1" applyAlignment="1">
      <alignment/>
    </xf>
    <xf numFmtId="0" fontId="0" fillId="0" borderId="18" xfId="0" applyBorder="1" applyAlignment="1">
      <alignment horizontal="center"/>
    </xf>
    <xf numFmtId="0" fontId="0" fillId="0" borderId="13" xfId="0" applyBorder="1" applyAlignment="1">
      <alignment horizontal="center"/>
    </xf>
    <xf numFmtId="0" fontId="0" fillId="37" borderId="24" xfId="0" applyFill="1" applyBorder="1" applyAlignment="1">
      <alignment horizontal="center" vertical="center"/>
    </xf>
    <xf numFmtId="0" fontId="46" fillId="37" borderId="24" xfId="0" applyFont="1" applyFill="1" applyBorder="1" applyAlignment="1">
      <alignment horizontal="center" vertical="center"/>
    </xf>
    <xf numFmtId="0" fontId="46" fillId="35" borderId="24" xfId="0" applyFont="1" applyFill="1" applyBorder="1" applyAlignment="1">
      <alignment horizontal="center" vertical="center"/>
    </xf>
    <xf numFmtId="0" fontId="0" fillId="35" borderId="24" xfId="0" applyFill="1" applyBorder="1" applyAlignment="1">
      <alignment horizontal="center" vertical="center"/>
    </xf>
    <xf numFmtId="1" fontId="0" fillId="38" borderId="24" xfId="0" applyNumberFormat="1" applyFill="1" applyBorder="1" applyAlignment="1">
      <alignment horizontal="center" vertical="center"/>
    </xf>
    <xf numFmtId="173" fontId="0" fillId="38" borderId="24" xfId="0" applyNumberFormat="1" applyFill="1" applyBorder="1" applyAlignment="1">
      <alignment horizontal="center" vertical="center"/>
    </xf>
    <xf numFmtId="0" fontId="0" fillId="38" borderId="24" xfId="0" applyFill="1" applyBorder="1" applyAlignment="1">
      <alignment horizontal="center" vertical="center" wrapText="1"/>
    </xf>
    <xf numFmtId="0" fontId="0" fillId="38" borderId="24" xfId="0" applyFill="1" applyBorder="1" applyAlignment="1">
      <alignment horizontal="center" vertical="center"/>
    </xf>
    <xf numFmtId="0" fontId="46" fillId="37" borderId="24" xfId="0" applyFont="1" applyFill="1" applyBorder="1" applyAlignment="1">
      <alignment horizontal="center" vertical="center"/>
    </xf>
    <xf numFmtId="1" fontId="0" fillId="37" borderId="24" xfId="0" applyNumberFormat="1" applyFill="1" applyBorder="1" applyAlignment="1">
      <alignment horizontal="center" vertical="center"/>
    </xf>
    <xf numFmtId="173" fontId="0" fillId="37" borderId="24" xfId="0" applyNumberFormat="1" applyFill="1" applyBorder="1" applyAlignment="1">
      <alignment horizontal="center" vertical="center"/>
    </xf>
    <xf numFmtId="0" fontId="0" fillId="37" borderId="24" xfId="0" applyFill="1" applyBorder="1" applyAlignment="1">
      <alignment horizontal="center" vertical="center" wrapText="1"/>
    </xf>
    <xf numFmtId="0" fontId="0" fillId="0" borderId="24" xfId="0" applyFill="1" applyBorder="1" applyAlignment="1">
      <alignment horizontal="center" vertical="center"/>
    </xf>
    <xf numFmtId="0" fontId="0" fillId="13" borderId="24" xfId="0" applyFill="1" applyBorder="1" applyAlignment="1">
      <alignment horizontal="center" vertical="center"/>
    </xf>
    <xf numFmtId="0" fontId="0" fillId="13" borderId="24" xfId="0" applyFont="1" applyFill="1" applyBorder="1" applyAlignment="1">
      <alignment horizontal="center" vertical="center"/>
    </xf>
    <xf numFmtId="0" fontId="0" fillId="13" borderId="24" xfId="0" applyFill="1" applyBorder="1" applyAlignment="1">
      <alignment horizontal="center" vertical="center" wrapText="1"/>
    </xf>
    <xf numFmtId="0" fontId="0" fillId="0" borderId="24" xfId="0" applyBorder="1" applyAlignment="1">
      <alignment horizontal="center" vertical="center"/>
    </xf>
    <xf numFmtId="1" fontId="0" fillId="0" borderId="24" xfId="0" applyNumberFormat="1" applyBorder="1" applyAlignment="1">
      <alignment horizontal="center" vertical="center"/>
    </xf>
    <xf numFmtId="173" fontId="0" fillId="0" borderId="24" xfId="0" applyNumberFormat="1" applyBorder="1" applyAlignment="1">
      <alignment horizontal="center" vertical="center"/>
    </xf>
    <xf numFmtId="0" fontId="0" fillId="0" borderId="24" xfId="0" applyBorder="1" applyAlignment="1">
      <alignment horizontal="center" vertical="center" wrapText="1"/>
    </xf>
    <xf numFmtId="0" fontId="51" fillId="0" borderId="24" xfId="0" applyFont="1" applyBorder="1" applyAlignment="1">
      <alignment horizontal="center" vertical="center"/>
    </xf>
    <xf numFmtId="0" fontId="0" fillId="0" borderId="24" xfId="0" applyFill="1" applyBorder="1" applyAlignment="1">
      <alignment horizontal="center" vertical="center" wrapText="1"/>
    </xf>
    <xf numFmtId="0" fontId="7" fillId="13" borderId="24" xfId="0" applyFont="1" applyFill="1" applyBorder="1" applyAlignment="1">
      <alignment horizontal="center" vertical="center" wrapText="1"/>
    </xf>
    <xf numFmtId="0" fontId="0" fillId="3" borderId="24" xfId="0" applyFill="1" applyBorder="1" applyAlignment="1">
      <alignment horizontal="center" vertical="center"/>
    </xf>
    <xf numFmtId="0" fontId="7" fillId="3" borderId="24"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4" xfId="0" applyBorder="1" applyAlignment="1">
      <alignment horizontal="center" vertical="center"/>
    </xf>
    <xf numFmtId="0" fontId="0" fillId="0" borderId="24" xfId="0" applyFont="1" applyBorder="1" applyAlignment="1">
      <alignment horizontal="center" vertical="center" wrapText="1"/>
    </xf>
    <xf numFmtId="0" fontId="46" fillId="0" borderId="24" xfId="0" applyFont="1" applyFill="1" applyBorder="1" applyAlignment="1">
      <alignment horizontal="center" vertical="center"/>
    </xf>
    <xf numFmtId="173" fontId="0" fillId="3" borderId="24" xfId="0" applyNumberFormat="1" applyFill="1" applyBorder="1" applyAlignment="1">
      <alignment horizontal="center" vertical="center"/>
    </xf>
    <xf numFmtId="0" fontId="0" fillId="35" borderId="24" xfId="0" applyFill="1" applyBorder="1" applyAlignment="1">
      <alignment horizontal="center" vertical="center"/>
    </xf>
    <xf numFmtId="0" fontId="0" fillId="35" borderId="24" xfId="0" applyFill="1" applyBorder="1" applyAlignment="1">
      <alignment horizontal="center" vertical="center" wrapText="1"/>
    </xf>
    <xf numFmtId="0" fontId="0" fillId="35" borderId="24" xfId="0" applyFont="1" applyFill="1" applyBorder="1" applyAlignment="1">
      <alignment horizontal="center" vertical="center" wrapText="1"/>
    </xf>
    <xf numFmtId="1" fontId="0" fillId="35" borderId="24" xfId="0" applyNumberFormat="1" applyFill="1" applyBorder="1" applyAlignment="1">
      <alignment horizontal="center" vertical="center"/>
    </xf>
    <xf numFmtId="173" fontId="0" fillId="35" borderId="24" xfId="0" applyNumberFormat="1" applyFill="1" applyBorder="1" applyAlignment="1">
      <alignment horizontal="center" vertical="center"/>
    </xf>
    <xf numFmtId="0" fontId="46" fillId="35" borderId="24" xfId="0" applyFont="1" applyFill="1" applyBorder="1" applyAlignment="1">
      <alignment horizontal="right" vertical="center"/>
    </xf>
    <xf numFmtId="172" fontId="46" fillId="35" borderId="24" xfId="0" applyNumberFormat="1" applyFont="1" applyFill="1" applyBorder="1" applyAlignment="1">
      <alignment horizontal="center" vertical="center"/>
    </xf>
    <xf numFmtId="0" fontId="46" fillId="35" borderId="24" xfId="0" applyFont="1" applyFill="1" applyBorder="1" applyAlignment="1">
      <alignment horizontal="center" vertical="center" wrapText="1"/>
    </xf>
    <xf numFmtId="0" fontId="0" fillId="0" borderId="0" xfId="0" applyBorder="1" applyAlignment="1">
      <alignment vertical="center"/>
    </xf>
    <xf numFmtId="174" fontId="0" fillId="0" borderId="24" xfId="0" applyNumberFormat="1" applyFill="1" applyBorder="1" applyAlignment="1">
      <alignment horizontal="center" vertical="center"/>
    </xf>
    <xf numFmtId="1" fontId="7" fillId="0" borderId="24" xfId="0" applyNumberFormat="1" applyFont="1" applyBorder="1" applyAlignment="1">
      <alignment horizontal="center" vertical="center"/>
    </xf>
    <xf numFmtId="0" fontId="7" fillId="0" borderId="24" xfId="0" applyFont="1" applyBorder="1" applyAlignment="1">
      <alignment horizontal="center" vertical="center" wrapText="1"/>
    </xf>
    <xf numFmtId="0" fontId="0" fillId="36" borderId="24" xfId="0" applyFont="1" applyFill="1" applyBorder="1" applyAlignment="1">
      <alignment horizontal="center" vertical="center"/>
    </xf>
    <xf numFmtId="1" fontId="0" fillId="13" borderId="0" xfId="0" applyNumberFormat="1" applyFill="1" applyBorder="1" applyAlignment="1">
      <alignment horizontal="center" vertical="center"/>
    </xf>
    <xf numFmtId="1" fontId="0" fillId="36" borderId="0" xfId="0" applyNumberFormat="1" applyFill="1" applyBorder="1" applyAlignment="1">
      <alignment horizontal="center" vertical="center"/>
    </xf>
    <xf numFmtId="1" fontId="0" fillId="36" borderId="12" xfId="0" applyNumberFormat="1" applyFill="1" applyBorder="1" applyAlignment="1">
      <alignment horizontal="center" vertical="center"/>
    </xf>
    <xf numFmtId="0" fontId="0" fillId="33" borderId="0" xfId="0" applyFill="1" applyAlignment="1">
      <alignment horizontal="right"/>
    </xf>
    <xf numFmtId="3" fontId="0" fillId="0" borderId="12" xfId="0" applyNumberFormat="1" applyBorder="1" applyAlignment="1">
      <alignment horizontal="center" vertical="center"/>
    </xf>
    <xf numFmtId="173" fontId="0" fillId="0" borderId="13" xfId="0" applyNumberFormat="1" applyBorder="1" applyAlignment="1">
      <alignment horizontal="center" vertical="center"/>
    </xf>
    <xf numFmtId="0" fontId="0" fillId="38" borderId="24" xfId="0" applyFont="1" applyFill="1" applyBorder="1" applyAlignment="1">
      <alignment horizontal="center" vertical="center"/>
    </xf>
    <xf numFmtId="173" fontId="0" fillId="38" borderId="24" xfId="0" applyNumberFormat="1" applyFont="1" applyFill="1" applyBorder="1" applyAlignment="1">
      <alignment horizontal="center" vertical="center"/>
    </xf>
    <xf numFmtId="0" fontId="46" fillId="38" borderId="24" xfId="0" applyFont="1" applyFill="1" applyBorder="1" applyAlignment="1">
      <alignment horizontal="center" vertical="center"/>
    </xf>
    <xf numFmtId="173" fontId="0" fillId="0" borderId="24" xfId="0" applyNumberFormat="1" applyFont="1" applyBorder="1" applyAlignment="1">
      <alignment horizontal="center" vertical="center"/>
    </xf>
    <xf numFmtId="1" fontId="0" fillId="0" borderId="24" xfId="0" applyNumberFormat="1" applyFont="1" applyBorder="1" applyAlignment="1">
      <alignment horizontal="center" vertical="center"/>
    </xf>
    <xf numFmtId="1" fontId="0" fillId="38" borderId="24" xfId="0" applyNumberFormat="1" applyFont="1" applyFill="1" applyBorder="1" applyAlignment="1">
      <alignment horizontal="center" vertical="center"/>
    </xf>
    <xf numFmtId="0" fontId="0" fillId="0" borderId="24" xfId="0" applyFont="1" applyFill="1" applyBorder="1" applyAlignment="1">
      <alignment horizontal="center" vertical="center"/>
    </xf>
    <xf numFmtId="173" fontId="0" fillId="0" borderId="24" xfId="0" applyNumberFormat="1" applyFont="1" applyFill="1" applyBorder="1" applyAlignment="1">
      <alignment horizontal="center" vertical="center"/>
    </xf>
    <xf numFmtId="0" fontId="46" fillId="34" borderId="24" xfId="0" applyFont="1" applyFill="1" applyBorder="1" applyAlignment="1">
      <alignment horizontal="center" vertical="center"/>
    </xf>
    <xf numFmtId="0" fontId="46" fillId="34" borderId="24" xfId="0" applyFont="1" applyFill="1" applyBorder="1" applyAlignment="1">
      <alignment horizontal="center" vertical="center" wrapText="1"/>
    </xf>
    <xf numFmtId="0" fontId="0" fillId="34" borderId="24" xfId="0" applyFont="1" applyFill="1" applyBorder="1" applyAlignment="1">
      <alignment horizontal="center" vertical="center"/>
    </xf>
    <xf numFmtId="173" fontId="0" fillId="34" borderId="24" xfId="0" applyNumberFormat="1" applyFont="1" applyFill="1" applyBorder="1" applyAlignment="1">
      <alignment horizontal="center" vertical="center"/>
    </xf>
    <xf numFmtId="1" fontId="0" fillId="34" borderId="24" xfId="0" applyNumberFormat="1" applyFont="1" applyFill="1" applyBorder="1" applyAlignment="1">
      <alignment horizontal="center" vertical="center"/>
    </xf>
    <xf numFmtId="0" fontId="0" fillId="34" borderId="24" xfId="0" applyFill="1" applyBorder="1" applyAlignment="1">
      <alignment horizontal="center" vertical="center"/>
    </xf>
    <xf numFmtId="0" fontId="51" fillId="0" borderId="24" xfId="0" applyFont="1" applyFill="1" applyBorder="1" applyAlignment="1">
      <alignment horizontal="center" vertical="center"/>
    </xf>
    <xf numFmtId="0" fontId="52" fillId="34" borderId="24" xfId="0" applyFont="1" applyFill="1" applyBorder="1" applyAlignment="1">
      <alignment horizontal="center" vertical="center"/>
    </xf>
    <xf numFmtId="2" fontId="0" fillId="0" borderId="24" xfId="0" applyNumberFormat="1" applyFont="1" applyBorder="1" applyAlignment="1">
      <alignment horizontal="center" vertical="center"/>
    </xf>
    <xf numFmtId="0" fontId="0" fillId="0" borderId="24" xfId="0" applyNumberFormat="1" applyFont="1" applyBorder="1" applyAlignment="1">
      <alignment horizontal="center" vertical="center"/>
    </xf>
    <xf numFmtId="0" fontId="3" fillId="0" borderId="24" xfId="0" applyFont="1" applyBorder="1" applyAlignment="1">
      <alignment horizontal="center" vertical="center" wrapText="1"/>
    </xf>
    <xf numFmtId="0" fontId="0" fillId="34" borderId="24" xfId="0" applyFill="1" applyBorder="1" applyAlignment="1">
      <alignment horizontal="center" vertical="center" wrapText="1"/>
    </xf>
    <xf numFmtId="173" fontId="0" fillId="0" borderId="24" xfId="44" applyNumberFormat="1" applyFont="1" applyBorder="1" applyAlignment="1">
      <alignment horizontal="center" vertical="center"/>
    </xf>
    <xf numFmtId="1" fontId="46" fillId="37" borderId="24" xfId="0" applyNumberFormat="1" applyFont="1" applyFill="1" applyBorder="1" applyAlignment="1">
      <alignment horizontal="center" vertical="center" wrapText="1"/>
    </xf>
    <xf numFmtId="173" fontId="46" fillId="37" borderId="24" xfId="0" applyNumberFormat="1" applyFont="1" applyFill="1" applyBorder="1" applyAlignment="1">
      <alignment horizontal="center" vertical="center"/>
    </xf>
    <xf numFmtId="0" fontId="0" fillId="36" borderId="24" xfId="0" applyFill="1" applyBorder="1" applyAlignment="1">
      <alignment horizontal="center" vertical="center"/>
    </xf>
    <xf numFmtId="0" fontId="0" fillId="3" borderId="24" xfId="0" applyFill="1" applyBorder="1" applyAlignment="1">
      <alignment horizontal="center" vertical="center" wrapText="1"/>
    </xf>
    <xf numFmtId="0" fontId="51" fillId="36" borderId="24" xfId="0" applyFont="1" applyFill="1" applyBorder="1" applyAlignment="1">
      <alignment horizontal="center" vertical="center"/>
    </xf>
    <xf numFmtId="0" fontId="0" fillId="13" borderId="30" xfId="0" applyFill="1" applyBorder="1" applyAlignment="1">
      <alignment vertical="center"/>
    </xf>
    <xf numFmtId="0" fontId="0" fillId="13" borderId="31" xfId="0" applyFill="1" applyBorder="1" applyAlignment="1">
      <alignment vertical="center"/>
    </xf>
    <xf numFmtId="0" fontId="0" fillId="13" borderId="32" xfId="0" applyFill="1" applyBorder="1" applyAlignment="1">
      <alignment vertical="center"/>
    </xf>
    <xf numFmtId="0" fontId="51" fillId="0" borderId="33" xfId="0" applyFont="1" applyBorder="1" applyAlignment="1">
      <alignment horizontal="center" vertical="center"/>
    </xf>
    <xf numFmtId="173" fontId="0" fillId="3" borderId="24" xfId="0" applyNumberFormat="1" applyFont="1" applyFill="1" applyBorder="1" applyAlignment="1">
      <alignment horizontal="center" vertical="center"/>
    </xf>
    <xf numFmtId="1" fontId="0" fillId="3" borderId="24" xfId="0" applyNumberFormat="1" applyFont="1" applyFill="1" applyBorder="1" applyAlignment="1">
      <alignment horizontal="center" vertical="center"/>
    </xf>
    <xf numFmtId="2" fontId="0" fillId="0" borderId="12" xfId="0" applyNumberFormat="1" applyBorder="1" applyAlignment="1">
      <alignment horizontal="center" vertical="center"/>
    </xf>
    <xf numFmtId="0" fontId="0" fillId="35" borderId="24" xfId="0" applyFont="1" applyFill="1" applyBorder="1" applyAlignment="1">
      <alignment horizontal="center" vertical="center"/>
    </xf>
    <xf numFmtId="173" fontId="0" fillId="35" borderId="24" xfId="0" applyNumberFormat="1" applyFont="1" applyFill="1" applyBorder="1" applyAlignment="1">
      <alignment horizontal="center" vertical="center"/>
    </xf>
    <xf numFmtId="1" fontId="0" fillId="3" borderId="0" xfId="0" applyNumberFormat="1" applyFill="1" applyBorder="1" applyAlignment="1">
      <alignment horizontal="center" vertical="center"/>
    </xf>
    <xf numFmtId="173" fontId="7" fillId="0" borderId="0" xfId="0" applyNumberFormat="1" applyFont="1" applyBorder="1" applyAlignment="1">
      <alignment horizontal="center" vertical="center" wrapText="1"/>
    </xf>
    <xf numFmtId="0" fontId="7" fillId="0" borderId="24" xfId="0" applyFont="1" applyBorder="1" applyAlignment="1">
      <alignment horizontal="center" vertical="center" wrapText="1"/>
    </xf>
    <xf numFmtId="173" fontId="7" fillId="0" borderId="24" xfId="0" applyNumberFormat="1" applyFont="1" applyBorder="1" applyAlignment="1">
      <alignment horizontal="center" vertical="center"/>
    </xf>
    <xf numFmtId="175" fontId="0" fillId="0" borderId="24" xfId="0" applyNumberFormat="1" applyBorder="1" applyAlignment="1">
      <alignment horizontal="center" vertical="center"/>
    </xf>
    <xf numFmtId="0" fontId="0" fillId="36" borderId="24" xfId="0" applyFill="1" applyBorder="1" applyAlignment="1">
      <alignment horizontal="center" vertical="center" wrapText="1"/>
    </xf>
    <xf numFmtId="1" fontId="0" fillId="3" borderId="24" xfId="0" applyNumberFormat="1" applyFill="1" applyBorder="1" applyAlignment="1">
      <alignment horizontal="center" vertical="center"/>
    </xf>
    <xf numFmtId="165" fontId="0" fillId="34" borderId="12" xfId="0" applyNumberFormat="1" applyFill="1" applyBorder="1" applyAlignment="1">
      <alignment horizontal="center" vertical="center"/>
    </xf>
    <xf numFmtId="0" fontId="0" fillId="34" borderId="13" xfId="0" applyFill="1" applyBorder="1" applyAlignment="1">
      <alignment horizontal="center" vertical="center"/>
    </xf>
    <xf numFmtId="0" fontId="46" fillId="35" borderId="24" xfId="0" applyFont="1" applyFill="1" applyBorder="1" applyAlignment="1">
      <alignment horizontal="center" vertical="center" textRotation="90"/>
    </xf>
    <xf numFmtId="0" fontId="46" fillId="35" borderId="24" xfId="0" applyFont="1" applyFill="1" applyBorder="1" applyAlignment="1">
      <alignment horizontal="center" vertical="center" textRotation="90" wrapText="1"/>
    </xf>
    <xf numFmtId="0" fontId="7" fillId="0" borderId="24" xfId="0" applyFont="1" applyFill="1" applyBorder="1" applyAlignment="1">
      <alignment horizontal="center" vertical="center" wrapText="1"/>
    </xf>
    <xf numFmtId="0" fontId="0" fillId="35" borderId="24" xfId="0" applyFill="1" applyBorder="1" applyAlignment="1">
      <alignment horizontal="center" vertical="center" wrapText="1"/>
    </xf>
    <xf numFmtId="0" fontId="46" fillId="38" borderId="24" xfId="0" applyFont="1" applyFill="1" applyBorder="1" applyAlignment="1">
      <alignment horizontal="left" vertical="center"/>
    </xf>
    <xf numFmtId="1" fontId="0" fillId="13" borderId="0" xfId="0" applyNumberFormat="1" applyFill="1" applyBorder="1" applyAlignment="1">
      <alignment horizontal="center" vertical="center"/>
    </xf>
    <xf numFmtId="1" fontId="0" fillId="35" borderId="0" xfId="0" applyNumberFormat="1" applyFill="1" applyBorder="1" applyAlignment="1">
      <alignment horizontal="center" vertical="center"/>
    </xf>
    <xf numFmtId="1" fontId="0" fillId="35" borderId="12" xfId="0" applyNumberFormat="1" applyFill="1" applyBorder="1" applyAlignment="1">
      <alignment horizontal="center" vertical="center"/>
    </xf>
    <xf numFmtId="173" fontId="0" fillId="33" borderId="24" xfId="0" applyNumberFormat="1" applyFont="1" applyFill="1" applyBorder="1" applyAlignment="1">
      <alignment horizontal="center" vertical="center"/>
    </xf>
    <xf numFmtId="172" fontId="0" fillId="0" borderId="15" xfId="0" applyNumberFormat="1" applyBorder="1" applyAlignment="1">
      <alignment horizontal="center" vertical="center"/>
    </xf>
    <xf numFmtId="173" fontId="0" fillId="36" borderId="15" xfId="0" applyNumberFormat="1" applyFont="1" applyFill="1" applyBorder="1" applyAlignment="1">
      <alignment horizontal="center" vertical="center"/>
    </xf>
    <xf numFmtId="1" fontId="0" fillId="36" borderId="15" xfId="0" applyNumberFormat="1" applyFont="1" applyFill="1" applyBorder="1" applyAlignment="1">
      <alignment horizontal="center" vertical="center"/>
    </xf>
    <xf numFmtId="173" fontId="0" fillId="13" borderId="15" xfId="0" applyNumberFormat="1" applyFont="1" applyFill="1" applyBorder="1" applyAlignment="1">
      <alignment horizontal="center" vertical="center"/>
    </xf>
    <xf numFmtId="1" fontId="0" fillId="13" borderId="15" xfId="0" applyNumberFormat="1" applyFont="1" applyFill="1" applyBorder="1" applyAlignment="1">
      <alignment horizontal="center" vertical="center"/>
    </xf>
    <xf numFmtId="172" fontId="46" fillId="36" borderId="15" xfId="0" applyNumberFormat="1" applyFont="1" applyFill="1" applyBorder="1" applyAlignment="1">
      <alignment horizontal="center" vertical="center"/>
    </xf>
    <xf numFmtId="0" fontId="0" fillId="0" borderId="0" xfId="0" applyBorder="1" applyAlignment="1">
      <alignment horizontal="center"/>
    </xf>
    <xf numFmtId="0" fontId="53" fillId="0" borderId="0" xfId="0" applyFont="1" applyAlignment="1">
      <alignment/>
    </xf>
    <xf numFmtId="0" fontId="0" fillId="37" borderId="24" xfId="0" applyFill="1" applyBorder="1" applyAlignment="1">
      <alignment vertical="center"/>
    </xf>
    <xf numFmtId="1" fontId="46" fillId="37" borderId="24" xfId="0" applyNumberFormat="1" applyFont="1" applyFill="1" applyBorder="1" applyAlignment="1">
      <alignment horizontal="center" vertical="center" wrapText="1"/>
    </xf>
    <xf numFmtId="1" fontId="46" fillId="37" borderId="24" xfId="0" applyNumberFormat="1" applyFont="1" applyFill="1" applyBorder="1" applyAlignment="1">
      <alignment horizontal="center" vertical="center"/>
    </xf>
    <xf numFmtId="173" fontId="46" fillId="37" borderId="24" xfId="0" applyNumberFormat="1" applyFont="1" applyFill="1" applyBorder="1" applyAlignment="1">
      <alignment horizontal="center" vertical="center" wrapText="1"/>
    </xf>
    <xf numFmtId="172" fontId="46" fillId="37" borderId="24" xfId="0" applyNumberFormat="1" applyFont="1" applyFill="1" applyBorder="1" applyAlignment="1">
      <alignment horizontal="center" vertical="center" wrapText="1"/>
    </xf>
    <xf numFmtId="0" fontId="46" fillId="37" borderId="24" xfId="0" applyFont="1" applyFill="1" applyBorder="1" applyAlignment="1">
      <alignment horizontal="center" vertical="center"/>
    </xf>
    <xf numFmtId="0" fontId="0" fillId="37" borderId="24" xfId="0" applyFill="1" applyBorder="1" applyAlignment="1">
      <alignment/>
    </xf>
    <xf numFmtId="0" fontId="0" fillId="37" borderId="24" xfId="0" applyFill="1" applyBorder="1" applyAlignment="1">
      <alignment horizontal="center"/>
    </xf>
    <xf numFmtId="172" fontId="0" fillId="37" borderId="24" xfId="0" applyNumberFormat="1" applyFill="1" applyBorder="1" applyAlignment="1">
      <alignment/>
    </xf>
    <xf numFmtId="0" fontId="0" fillId="37" borderId="24" xfId="0" applyFill="1" applyBorder="1" applyAlignment="1">
      <alignment/>
    </xf>
    <xf numFmtId="0" fontId="46" fillId="37" borderId="24" xfId="0" applyFont="1" applyFill="1" applyBorder="1" applyAlignment="1">
      <alignment horizontal="center" vertical="center" textRotation="90"/>
    </xf>
    <xf numFmtId="0" fontId="46" fillId="37" borderId="24" xfId="0" applyFont="1" applyFill="1" applyBorder="1" applyAlignment="1">
      <alignment horizontal="center" vertical="center" textRotation="90" wrapText="1"/>
    </xf>
    <xf numFmtId="0" fontId="46" fillId="37" borderId="24" xfId="0" applyFont="1" applyFill="1" applyBorder="1" applyAlignment="1">
      <alignment horizontal="center" vertical="center" wrapText="1"/>
    </xf>
    <xf numFmtId="0" fontId="0" fillId="0" borderId="24" xfId="0" applyBorder="1" applyAlignment="1">
      <alignment horizontal="center" vertical="center"/>
    </xf>
    <xf numFmtId="173" fontId="46" fillId="37" borderId="24" xfId="0" applyNumberFormat="1" applyFont="1" applyFill="1" applyBorder="1" applyAlignment="1">
      <alignment horizontal="center" vertical="center"/>
    </xf>
    <xf numFmtId="172" fontId="0" fillId="37" borderId="24" xfId="0" applyNumberFormat="1" applyFill="1" applyBorder="1" applyAlignment="1">
      <alignment horizontal="center" vertical="center" wrapText="1"/>
    </xf>
    <xf numFmtId="0" fontId="0" fillId="37" borderId="24" xfId="0" applyFill="1" applyBorder="1" applyAlignment="1">
      <alignment horizontal="center" vertical="center"/>
    </xf>
    <xf numFmtId="173" fontId="0" fillId="34" borderId="13" xfId="0" applyNumberFormat="1" applyFill="1" applyBorder="1" applyAlignment="1">
      <alignment horizontal="center" vertical="center"/>
    </xf>
    <xf numFmtId="0" fontId="46" fillId="35" borderId="14" xfId="0" applyFont="1" applyFill="1" applyBorder="1" applyAlignment="1">
      <alignment horizontal="center" vertical="center"/>
    </xf>
    <xf numFmtId="0" fontId="46" fillId="35" borderId="16" xfId="0" applyFont="1" applyFill="1" applyBorder="1" applyAlignment="1">
      <alignment horizontal="center" vertical="center"/>
    </xf>
    <xf numFmtId="0" fontId="0" fillId="36" borderId="16" xfId="0" applyFill="1" applyBorder="1" applyAlignment="1">
      <alignment horizontal="center" vertical="center"/>
    </xf>
    <xf numFmtId="173" fontId="0" fillId="36" borderId="0" xfId="0" applyNumberFormat="1" applyFill="1" applyBorder="1" applyAlignment="1">
      <alignment horizontal="center" vertical="center"/>
    </xf>
    <xf numFmtId="173" fontId="0" fillId="36" borderId="24" xfId="0" applyNumberFormat="1" applyFill="1" applyBorder="1" applyAlignment="1">
      <alignment horizontal="center" vertical="center"/>
    </xf>
    <xf numFmtId="1" fontId="0" fillId="36" borderId="24" xfId="0" applyNumberFormat="1" applyFill="1" applyBorder="1" applyAlignment="1">
      <alignment horizontal="center" vertical="center"/>
    </xf>
    <xf numFmtId="0" fontId="0" fillId="13" borderId="16" xfId="0" applyFill="1" applyBorder="1" applyAlignment="1">
      <alignment horizontal="center" vertical="center"/>
    </xf>
    <xf numFmtId="173" fontId="0" fillId="13" borderId="0" xfId="0" applyNumberFormat="1" applyFill="1" applyBorder="1" applyAlignment="1">
      <alignment horizontal="center" vertical="center"/>
    </xf>
    <xf numFmtId="0" fontId="0" fillId="35" borderId="17" xfId="0" applyFill="1" applyBorder="1" applyAlignment="1">
      <alignment horizontal="center" vertical="center"/>
    </xf>
    <xf numFmtId="172" fontId="0" fillId="35" borderId="18" xfId="0" applyNumberFormat="1" applyFill="1" applyBorder="1" applyAlignment="1">
      <alignment horizontal="center" vertical="center"/>
    </xf>
    <xf numFmtId="1" fontId="0" fillId="35" borderId="18" xfId="0" applyNumberFormat="1" applyFill="1" applyBorder="1" applyAlignment="1">
      <alignment horizontal="center" vertical="center"/>
    </xf>
    <xf numFmtId="1" fontId="0" fillId="35" borderId="13" xfId="0" applyNumberFormat="1" applyFill="1" applyBorder="1" applyAlignment="1">
      <alignment horizontal="center" vertical="center"/>
    </xf>
    <xf numFmtId="0" fontId="0" fillId="37" borderId="0" xfId="0" applyFill="1" applyAlignment="1">
      <alignment/>
    </xf>
    <xf numFmtId="0" fontId="0" fillId="37" borderId="0" xfId="0" applyFill="1" applyAlignment="1">
      <alignment horizontal="center"/>
    </xf>
    <xf numFmtId="173" fontId="0" fillId="37" borderId="24" xfId="0" applyNumberFormat="1" applyFill="1" applyBorder="1" applyAlignment="1">
      <alignment/>
    </xf>
    <xf numFmtId="173" fontId="46" fillId="37" borderId="34" xfId="0" applyNumberFormat="1" applyFont="1" applyFill="1" applyBorder="1" applyAlignment="1">
      <alignment horizontal="center" vertical="center" wrapText="1"/>
    </xf>
    <xf numFmtId="173" fontId="52" fillId="39" borderId="33" xfId="0" applyNumberFormat="1" applyFont="1" applyFill="1" applyBorder="1" applyAlignment="1">
      <alignment horizontal="center" vertical="center" wrapText="1"/>
    </xf>
    <xf numFmtId="173" fontId="52" fillId="39" borderId="35" xfId="0" applyNumberFormat="1" applyFont="1" applyFill="1" applyBorder="1" applyAlignment="1">
      <alignment horizontal="center" vertical="center" wrapText="1"/>
    </xf>
    <xf numFmtId="173" fontId="46" fillId="37" borderId="0" xfId="0" applyNumberFormat="1" applyFont="1" applyFill="1" applyBorder="1" applyAlignment="1">
      <alignment horizontal="center" vertical="center" wrapText="1"/>
    </xf>
    <xf numFmtId="0" fontId="46" fillId="35" borderId="24" xfId="0" applyFont="1" applyFill="1" applyBorder="1" applyAlignment="1">
      <alignment horizontal="center" vertical="center"/>
    </xf>
    <xf numFmtId="0" fontId="46" fillId="35" borderId="24" xfId="0" applyFont="1" applyFill="1" applyBorder="1" applyAlignment="1">
      <alignment horizontal="center" vertical="center" wrapText="1"/>
    </xf>
    <xf numFmtId="0" fontId="0" fillId="0" borderId="24" xfId="0" applyFill="1" applyBorder="1" applyAlignment="1">
      <alignment horizontal="center" vertical="center"/>
    </xf>
    <xf numFmtId="0" fontId="0" fillId="0" borderId="24" xfId="0" applyFont="1" applyFill="1" applyBorder="1" applyAlignment="1">
      <alignment horizontal="center" vertical="center"/>
    </xf>
    <xf numFmtId="0" fontId="0" fillId="13" borderId="24" xfId="0" applyFont="1" applyFill="1" applyBorder="1" applyAlignment="1">
      <alignment horizontal="center" vertical="center"/>
    </xf>
    <xf numFmtId="173" fontId="46" fillId="33" borderId="24" xfId="0" applyNumberFormat="1" applyFont="1" applyFill="1" applyBorder="1" applyAlignment="1">
      <alignment horizontal="center" vertical="center" wrapText="1"/>
    </xf>
    <xf numFmtId="1" fontId="46" fillId="33" borderId="24" xfId="0" applyNumberFormat="1" applyFont="1" applyFill="1" applyBorder="1" applyAlignment="1">
      <alignment horizontal="center" vertical="center" wrapText="1"/>
    </xf>
    <xf numFmtId="173" fontId="0" fillId="0" borderId="24" xfId="0" applyNumberFormat="1" applyBorder="1" applyAlignment="1">
      <alignment horizontal="center" vertical="center"/>
    </xf>
    <xf numFmtId="1" fontId="0" fillId="0" borderId="24" xfId="0" applyNumberFormat="1" applyBorder="1" applyAlignment="1">
      <alignment horizontal="center" vertical="center"/>
    </xf>
    <xf numFmtId="0" fontId="0" fillId="13" borderId="24" xfId="0" applyFont="1" applyFill="1" applyBorder="1" applyAlignment="1">
      <alignment horizontal="center" vertical="center" wrapText="1"/>
    </xf>
    <xf numFmtId="0" fontId="0" fillId="0" borderId="24" xfId="0" applyBorder="1" applyAlignment="1">
      <alignment horizontal="center" vertical="center" wrapText="1"/>
    </xf>
    <xf numFmtId="0" fontId="0" fillId="36" borderId="24" xfId="0" applyFont="1" applyFill="1" applyBorder="1" applyAlignment="1">
      <alignment horizontal="center" vertical="center"/>
    </xf>
    <xf numFmtId="1" fontId="0" fillId="33" borderId="24" xfId="0" applyNumberFormat="1" applyFill="1" applyBorder="1" applyAlignment="1">
      <alignment horizontal="center" vertical="center"/>
    </xf>
    <xf numFmtId="0" fontId="0" fillId="35" borderId="24" xfId="0" applyFill="1" applyBorder="1" applyAlignment="1">
      <alignment horizontal="center" vertical="center"/>
    </xf>
    <xf numFmtId="172" fontId="0" fillId="35" borderId="24" xfId="0" applyNumberFormat="1" applyFill="1" applyBorder="1" applyAlignment="1">
      <alignment horizontal="center" vertical="center"/>
    </xf>
    <xf numFmtId="1" fontId="0" fillId="35" borderId="24" xfId="0" applyNumberFormat="1" applyFill="1" applyBorder="1" applyAlignment="1">
      <alignment horizontal="center" vertical="center"/>
    </xf>
    <xf numFmtId="0" fontId="46" fillId="35" borderId="24" xfId="0" applyFont="1" applyFill="1" applyBorder="1" applyAlignment="1">
      <alignment horizontal="right" vertical="center"/>
    </xf>
    <xf numFmtId="172" fontId="46" fillId="35" borderId="24" xfId="0" applyNumberFormat="1" applyFont="1" applyFill="1" applyBorder="1" applyAlignment="1">
      <alignment horizontal="center" vertical="center"/>
    </xf>
    <xf numFmtId="1" fontId="46" fillId="35" borderId="24" xfId="0" applyNumberFormat="1" applyFont="1" applyFill="1" applyBorder="1" applyAlignment="1">
      <alignment horizontal="center" vertical="center"/>
    </xf>
    <xf numFmtId="0" fontId="46" fillId="35" borderId="24" xfId="0" applyFont="1" applyFill="1" applyBorder="1" applyAlignment="1">
      <alignment horizontal="center"/>
    </xf>
    <xf numFmtId="0" fontId="46" fillId="35" borderId="24" xfId="0" applyFont="1" applyFill="1" applyBorder="1" applyAlignment="1">
      <alignment/>
    </xf>
    <xf numFmtId="0" fontId="0" fillId="35" borderId="24" xfId="0" applyFill="1" applyBorder="1" applyAlignment="1">
      <alignment/>
    </xf>
    <xf numFmtId="0" fontId="0" fillId="35" borderId="24" xfId="0" applyFont="1" applyFill="1" applyBorder="1" applyAlignment="1">
      <alignment wrapText="1"/>
    </xf>
    <xf numFmtId="0" fontId="0" fillId="0" borderId="24" xfId="0" applyFill="1" applyBorder="1" applyAlignment="1">
      <alignment horizontal="center"/>
    </xf>
    <xf numFmtId="0" fontId="0" fillId="36" borderId="24" xfId="0" applyFill="1" applyBorder="1" applyAlignment="1">
      <alignment horizontal="center" vertical="center" wrapText="1"/>
    </xf>
    <xf numFmtId="0" fontId="0" fillId="0" borderId="24" xfId="0" applyFont="1" applyBorder="1" applyAlignment="1">
      <alignment horizontal="center" vertical="center"/>
    </xf>
    <xf numFmtId="0" fontId="0" fillId="0" borderId="24" xfId="0" applyFill="1" applyBorder="1" applyAlignment="1">
      <alignment horizontal="center" vertical="center" wrapText="1"/>
    </xf>
    <xf numFmtId="0" fontId="46" fillId="34" borderId="24" xfId="0" applyFont="1" applyFill="1" applyBorder="1" applyAlignment="1">
      <alignment horizontal="center"/>
    </xf>
    <xf numFmtId="0" fontId="46" fillId="34" borderId="24" xfId="0" applyFont="1" applyFill="1" applyBorder="1" applyAlignment="1">
      <alignment/>
    </xf>
    <xf numFmtId="0" fontId="46" fillId="34" borderId="24" xfId="0" applyFont="1" applyFill="1" applyBorder="1" applyAlignment="1">
      <alignment horizontal="center" vertical="center"/>
    </xf>
    <xf numFmtId="1" fontId="46" fillId="34" borderId="24" xfId="0" applyNumberFormat="1" applyFont="1" applyFill="1" applyBorder="1" applyAlignment="1">
      <alignment horizontal="center" vertical="center"/>
    </xf>
    <xf numFmtId="0" fontId="0" fillId="0" borderId="24" xfId="0" applyBorder="1" applyAlignment="1">
      <alignment horizontal="center"/>
    </xf>
    <xf numFmtId="0" fontId="0" fillId="0" borderId="24" xfId="0" applyBorder="1" applyAlignment="1">
      <alignment/>
    </xf>
    <xf numFmtId="0" fontId="46" fillId="0" borderId="24" xfId="0" applyFont="1" applyBorder="1" applyAlignment="1">
      <alignment horizontal="center" vertical="center"/>
    </xf>
    <xf numFmtId="0" fontId="0" fillId="0" borderId="24" xfId="0" applyFill="1" applyBorder="1" applyAlignment="1">
      <alignment horizontal="center" wrapText="1"/>
    </xf>
    <xf numFmtId="0" fontId="0" fillId="0" borderId="24" xfId="0" applyBorder="1" applyAlignment="1">
      <alignment wrapText="1"/>
    </xf>
    <xf numFmtId="0" fontId="0" fillId="36" borderId="24" xfId="0" applyFont="1" applyFill="1" applyBorder="1" applyAlignment="1">
      <alignment horizontal="center" vertical="center" wrapText="1"/>
    </xf>
    <xf numFmtId="1" fontId="0" fillId="0" borderId="24" xfId="0" applyNumberFormat="1" applyBorder="1" applyAlignment="1">
      <alignment horizontal="center" vertical="center" wrapText="1"/>
    </xf>
    <xf numFmtId="173" fontId="0" fillId="0" borderId="24" xfId="0" applyNumberFormat="1" applyBorder="1" applyAlignment="1">
      <alignment horizontal="center" vertical="center" wrapText="1"/>
    </xf>
    <xf numFmtId="0" fontId="0" fillId="0" borderId="24" xfId="0" applyFont="1" applyBorder="1" applyAlignment="1">
      <alignment horizontal="center" vertical="center" wrapText="1"/>
    </xf>
    <xf numFmtId="0" fontId="51" fillId="0" borderId="24" xfId="0" applyFont="1" applyFill="1" applyBorder="1" applyAlignment="1">
      <alignment horizontal="center"/>
    </xf>
    <xf numFmtId="0" fontId="51" fillId="0" borderId="24" xfId="0" applyFont="1" applyFill="1" applyBorder="1" applyAlignment="1">
      <alignment horizontal="center" vertical="center"/>
    </xf>
    <xf numFmtId="1" fontId="0" fillId="0" borderId="24" xfId="0" applyNumberFormat="1" applyFill="1" applyBorder="1" applyAlignment="1">
      <alignment horizontal="center" vertical="center" wrapText="1"/>
    </xf>
    <xf numFmtId="1" fontId="0" fillId="0" borderId="24" xfId="0" applyNumberFormat="1" applyFont="1" applyFill="1" applyBorder="1" applyAlignment="1">
      <alignment horizontal="center" vertical="center" wrapText="1"/>
    </xf>
    <xf numFmtId="0" fontId="0" fillId="36" borderId="24" xfId="0" applyFill="1" applyBorder="1" applyAlignment="1">
      <alignment horizontal="center" vertical="center"/>
    </xf>
    <xf numFmtId="172" fontId="46" fillId="34" borderId="24" xfId="0" applyNumberFormat="1" applyFont="1" applyFill="1" applyBorder="1" applyAlignment="1">
      <alignment horizontal="center" vertical="center"/>
    </xf>
    <xf numFmtId="173" fontId="46" fillId="34" borderId="24" xfId="0" applyNumberFormat="1" applyFont="1" applyFill="1" applyBorder="1" applyAlignment="1">
      <alignment horizontal="center" vertical="center"/>
    </xf>
    <xf numFmtId="0" fontId="46" fillId="34" borderId="24" xfId="0" applyFont="1" applyFill="1" applyBorder="1" applyAlignment="1">
      <alignment horizontal="center" vertical="center" wrapText="1"/>
    </xf>
    <xf numFmtId="1" fontId="51" fillId="0" borderId="33" xfId="0" applyNumberFormat="1" applyFont="1" applyBorder="1" applyAlignment="1">
      <alignment horizontal="center" vertical="center"/>
    </xf>
    <xf numFmtId="1" fontId="51" fillId="0" borderId="35" xfId="0" applyNumberFormat="1" applyFont="1" applyBorder="1" applyAlignment="1">
      <alignment horizontal="center" vertical="center"/>
    </xf>
    <xf numFmtId="0" fontId="0" fillId="35" borderId="0" xfId="0" applyFill="1" applyAlignment="1">
      <alignment/>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7" xfId="0" applyFill="1" applyBorder="1" applyAlignment="1">
      <alignment horizontal="center" vertical="center"/>
    </xf>
    <xf numFmtId="173" fontId="0" fillId="0" borderId="37" xfId="0" applyNumberFormat="1" applyFont="1" applyBorder="1" applyAlignment="1">
      <alignment horizontal="center" vertical="center"/>
    </xf>
    <xf numFmtId="0" fontId="0" fillId="0" borderId="37" xfId="0" applyNumberFormat="1" applyFont="1" applyBorder="1" applyAlignment="1">
      <alignment horizontal="center" vertical="center"/>
    </xf>
    <xf numFmtId="0" fontId="0" fillId="0" borderId="38" xfId="0" applyBorder="1" applyAlignment="1">
      <alignment horizontal="center" vertical="center"/>
    </xf>
    <xf numFmtId="0" fontId="0" fillId="36" borderId="24" xfId="0" applyFill="1" applyBorder="1" applyAlignment="1">
      <alignment horizontal="center" vertical="center" wrapText="1"/>
    </xf>
    <xf numFmtId="0" fontId="0" fillId="0" borderId="37" xfId="0" applyBorder="1" applyAlignment="1">
      <alignment horizontal="center" vertical="center" wrapText="1"/>
    </xf>
    <xf numFmtId="0" fontId="46" fillId="33" borderId="24" xfId="0" applyFont="1" applyFill="1" applyBorder="1" applyAlignment="1">
      <alignment horizontal="center" vertical="center"/>
    </xf>
    <xf numFmtId="0" fontId="0" fillId="35" borderId="15" xfId="0" applyFill="1" applyBorder="1" applyAlignment="1">
      <alignment horizontal="center" vertical="center" wrapText="1"/>
    </xf>
    <xf numFmtId="0" fontId="0" fillId="0" borderId="24" xfId="0" applyFill="1" applyBorder="1" applyAlignment="1">
      <alignment horizontal="left" vertical="center"/>
    </xf>
    <xf numFmtId="0" fontId="0" fillId="0" borderId="24" xfId="0" applyBorder="1" applyAlignment="1">
      <alignment horizontal="center" vertical="center"/>
    </xf>
    <xf numFmtId="173" fontId="0" fillId="0" borderId="24" xfId="0" applyNumberFormat="1" applyBorder="1" applyAlignment="1">
      <alignment horizontal="center" vertical="center"/>
    </xf>
    <xf numFmtId="1" fontId="0" fillId="0" borderId="24" xfId="0" applyNumberFormat="1" applyFont="1" applyBorder="1" applyAlignment="1">
      <alignment horizontal="center" vertical="center"/>
    </xf>
    <xf numFmtId="173" fontId="0" fillId="0" borderId="24" xfId="0" applyNumberFormat="1" applyFont="1" applyBorder="1" applyAlignment="1">
      <alignment horizontal="center" vertical="center"/>
    </xf>
    <xf numFmtId="0" fontId="0" fillId="0" borderId="24" xfId="0" applyFont="1" applyBorder="1" applyAlignment="1">
      <alignment horizontal="center" vertical="center"/>
    </xf>
    <xf numFmtId="173" fontId="0" fillId="33" borderId="24" xfId="0" applyNumberFormat="1" applyFont="1" applyFill="1" applyBorder="1" applyAlignment="1">
      <alignment horizontal="center" vertical="center"/>
    </xf>
    <xf numFmtId="0" fontId="46" fillId="35" borderId="16" xfId="0" applyFont="1" applyFill="1" applyBorder="1" applyAlignment="1">
      <alignment horizontal="center" vertical="center"/>
    </xf>
    <xf numFmtId="173" fontId="0" fillId="0" borderId="24" xfId="0" applyNumberFormat="1" applyBorder="1" applyAlignment="1">
      <alignment horizontal="center" vertical="center"/>
    </xf>
    <xf numFmtId="0" fontId="51" fillId="0" borderId="24" xfId="0" applyFont="1" applyBorder="1" applyAlignment="1">
      <alignment horizontal="center" vertical="center"/>
    </xf>
    <xf numFmtId="0" fontId="0" fillId="0" borderId="24" xfId="0" applyBorder="1" applyAlignment="1">
      <alignment horizontal="center" vertical="center"/>
    </xf>
    <xf numFmtId="173" fontId="0" fillId="0" borderId="24" xfId="0" applyNumberFormat="1" applyFont="1" applyBorder="1" applyAlignment="1">
      <alignment horizontal="center" vertical="center"/>
    </xf>
    <xf numFmtId="0" fontId="0" fillId="0" borderId="24" xfId="0" applyFont="1" applyBorder="1" applyAlignment="1">
      <alignment horizontal="center" vertical="center"/>
    </xf>
    <xf numFmtId="1" fontId="0" fillId="0" borderId="24" xfId="0" applyNumberFormat="1" applyFont="1" applyBorder="1" applyAlignment="1">
      <alignment horizontal="center" vertical="center"/>
    </xf>
    <xf numFmtId="0" fontId="0" fillId="0" borderId="24" xfId="0" applyFont="1" applyFill="1" applyBorder="1" applyAlignment="1">
      <alignment horizontal="center" vertical="center"/>
    </xf>
    <xf numFmtId="0" fontId="0" fillId="0" borderId="0" xfId="0" applyFill="1" applyAlignment="1">
      <alignment wrapText="1"/>
    </xf>
    <xf numFmtId="0" fontId="46" fillId="35" borderId="0" xfId="0" applyFont="1" applyFill="1" applyBorder="1" applyAlignment="1">
      <alignment horizontal="center" vertical="center"/>
    </xf>
    <xf numFmtId="173" fontId="0" fillId="0" borderId="24" xfId="44" applyNumberFormat="1" applyFont="1" applyBorder="1" applyAlignment="1">
      <alignment horizontal="center" vertical="center"/>
    </xf>
    <xf numFmtId="0" fontId="0" fillId="35" borderId="0" xfId="0" applyFill="1" applyBorder="1" applyAlignment="1">
      <alignment vertical="center"/>
    </xf>
    <xf numFmtId="165" fontId="0" fillId="34" borderId="0" xfId="0" applyNumberFormat="1" applyFill="1" applyBorder="1" applyAlignment="1">
      <alignment horizontal="center" vertical="center"/>
    </xf>
    <xf numFmtId="0" fontId="0" fillId="35" borderId="12" xfId="0" applyFill="1" applyBorder="1" applyAlignment="1">
      <alignment vertical="center"/>
    </xf>
    <xf numFmtId="1" fontId="0" fillId="34" borderId="18" xfId="0" applyNumberFormat="1" applyFill="1" applyBorder="1" applyAlignment="1">
      <alignment horizontal="center" vertical="center"/>
    </xf>
    <xf numFmtId="0" fontId="0" fillId="34" borderId="0" xfId="0" applyFill="1" applyBorder="1" applyAlignment="1">
      <alignment vertical="center"/>
    </xf>
    <xf numFmtId="0" fontId="0" fillId="34" borderId="12" xfId="0" applyFill="1" applyBorder="1" applyAlignment="1">
      <alignment vertical="center"/>
    </xf>
    <xf numFmtId="0" fontId="0" fillId="34" borderId="18" xfId="0" applyFill="1" applyBorder="1" applyAlignment="1">
      <alignment vertical="center"/>
    </xf>
    <xf numFmtId="0" fontId="0" fillId="34" borderId="13" xfId="0" applyFill="1" applyBorder="1" applyAlignment="1">
      <alignment vertical="center"/>
    </xf>
    <xf numFmtId="0" fontId="47" fillId="0" borderId="0" xfId="0" applyFont="1" applyAlignment="1">
      <alignment/>
    </xf>
    <xf numFmtId="0" fontId="47" fillId="0" borderId="0" xfId="0" applyFont="1" applyAlignment="1">
      <alignment horizontal="center"/>
    </xf>
    <xf numFmtId="1" fontId="0" fillId="0" borderId="12" xfId="0" applyNumberFormat="1" applyFill="1" applyBorder="1" applyAlignment="1">
      <alignment horizontal="center" vertical="center"/>
    </xf>
    <xf numFmtId="2" fontId="0" fillId="0" borderId="0" xfId="0" applyNumberFormat="1" applyAlignment="1">
      <alignment horizontal="right" vertical="center"/>
    </xf>
    <xf numFmtId="0" fontId="0" fillId="0" borderId="0" xfId="0" applyAlignment="1">
      <alignment horizontal="left"/>
    </xf>
    <xf numFmtId="0" fontId="7" fillId="0" borderId="15" xfId="0" applyFont="1" applyFill="1" applyBorder="1" applyAlignment="1">
      <alignment horizontal="center" vertical="center" wrapText="1"/>
    </xf>
    <xf numFmtId="1" fontId="0" fillId="0" borderId="15" xfId="0" applyNumberFormat="1" applyBorder="1" applyAlignment="1">
      <alignment horizontal="center" vertical="center"/>
    </xf>
    <xf numFmtId="0" fontId="49" fillId="37" borderId="10" xfId="0" applyFont="1" applyFill="1" applyBorder="1" applyAlignment="1">
      <alignment horizontal="center" vertical="center"/>
    </xf>
    <xf numFmtId="6" fontId="0" fillId="33" borderId="10" xfId="0" applyNumberFormat="1" applyFont="1" applyFill="1" applyBorder="1" applyAlignment="1">
      <alignment horizontal="center" vertical="center"/>
    </xf>
    <xf numFmtId="172" fontId="0" fillId="0" borderId="10" xfId="0" applyNumberFormat="1" applyFont="1" applyBorder="1" applyAlignment="1">
      <alignment horizontal="center" vertical="center"/>
    </xf>
    <xf numFmtId="172" fontId="0" fillId="33" borderId="10" xfId="0" applyNumberFormat="1" applyFont="1" applyFill="1" applyBorder="1" applyAlignment="1">
      <alignment horizontal="center" vertical="center"/>
    </xf>
    <xf numFmtId="0" fontId="50" fillId="33" borderId="10" xfId="0" applyFont="1" applyFill="1" applyBorder="1" applyAlignment="1">
      <alignment horizontal="center" vertical="center"/>
    </xf>
    <xf numFmtId="172" fontId="0" fillId="33" borderId="10" xfId="0" applyNumberFormat="1" applyFont="1" applyFill="1" applyBorder="1" applyAlignment="1" quotePrefix="1">
      <alignment horizontal="center" vertical="center"/>
    </xf>
    <xf numFmtId="172" fontId="0" fillId="0" borderId="10" xfId="0" applyNumberFormat="1" applyFont="1" applyBorder="1" applyAlignment="1" quotePrefix="1">
      <alignment horizontal="center" vertical="center"/>
    </xf>
    <xf numFmtId="172" fontId="0" fillId="0" borderId="10" xfId="0" applyNumberFormat="1" applyBorder="1" applyAlignment="1">
      <alignment horizontal="center" vertical="center"/>
    </xf>
    <xf numFmtId="0" fontId="50" fillId="35" borderId="10" xfId="0" applyFont="1" applyFill="1" applyBorder="1" applyAlignment="1">
      <alignment horizontal="center" vertical="center"/>
    </xf>
    <xf numFmtId="6" fontId="48" fillId="35" borderId="10" xfId="0" applyNumberFormat="1" applyFont="1" applyFill="1" applyBorder="1" applyAlignment="1">
      <alignment horizontal="center" vertical="center"/>
    </xf>
    <xf numFmtId="1" fontId="48" fillId="35" borderId="10" xfId="0" applyNumberFormat="1" applyFont="1" applyFill="1" applyBorder="1" applyAlignment="1">
      <alignment horizontal="center" vertical="center"/>
    </xf>
    <xf numFmtId="0" fontId="0" fillId="0" borderId="10" xfId="0" applyBorder="1" applyAlignment="1">
      <alignment horizontal="center" vertical="center"/>
    </xf>
    <xf numFmtId="1" fontId="0" fillId="0" borderId="10" xfId="0" applyNumberFormat="1" applyBorder="1" applyAlignment="1">
      <alignment horizontal="center" vertical="center"/>
    </xf>
    <xf numFmtId="0" fontId="53" fillId="0" borderId="0" xfId="0" applyFont="1" applyAlignment="1">
      <alignment horizontal="left" vertical="center"/>
    </xf>
    <xf numFmtId="0" fontId="0" fillId="33" borderId="24" xfId="0" applyFill="1" applyBorder="1" applyAlignment="1">
      <alignment horizontal="center" vertical="center" wrapText="1"/>
    </xf>
    <xf numFmtId="1" fontId="0" fillId="33" borderId="10" xfId="0" applyNumberFormat="1" applyFont="1" applyFill="1" applyBorder="1" applyAlignment="1">
      <alignment horizontal="center" vertical="center"/>
    </xf>
    <xf numFmtId="6" fontId="0" fillId="36" borderId="15" xfId="0" applyNumberFormat="1" applyFill="1" applyBorder="1" applyAlignment="1">
      <alignment horizontal="center" vertical="center"/>
    </xf>
    <xf numFmtId="6" fontId="46" fillId="35" borderId="10" xfId="0" applyNumberFormat="1" applyFont="1" applyFill="1" applyBorder="1" applyAlignment="1">
      <alignment horizontal="center" vertical="center"/>
    </xf>
    <xf numFmtId="1" fontId="46" fillId="35" borderId="10" xfId="0" applyNumberFormat="1" applyFont="1" applyFill="1" applyBorder="1" applyAlignment="1">
      <alignment horizontal="center" vertical="center"/>
    </xf>
    <xf numFmtId="1" fontId="46" fillId="35" borderId="22" xfId="0" applyNumberFormat="1" applyFont="1" applyFill="1" applyBorder="1" applyAlignment="1">
      <alignment horizontal="center" vertical="center"/>
    </xf>
    <xf numFmtId="1" fontId="46" fillId="35" borderId="28" xfId="0" applyNumberFormat="1" applyFont="1" applyFill="1"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0" fontId="46" fillId="33" borderId="10" xfId="0" applyFont="1" applyFill="1" applyBorder="1" applyAlignment="1">
      <alignment horizontal="center" vertical="center"/>
    </xf>
    <xf numFmtId="0" fontId="48" fillId="35" borderId="39" xfId="0" applyFont="1" applyFill="1" applyBorder="1" applyAlignment="1">
      <alignment horizontal="right" vertical="center"/>
    </xf>
    <xf numFmtId="0" fontId="48" fillId="35" borderId="40" xfId="0" applyFont="1" applyFill="1" applyBorder="1" applyAlignment="1">
      <alignment horizontal="right" vertical="center"/>
    </xf>
    <xf numFmtId="0" fontId="46" fillId="35" borderId="10" xfId="0" applyFont="1" applyFill="1" applyBorder="1" applyAlignment="1">
      <alignment horizontal="center" vertical="center"/>
    </xf>
    <xf numFmtId="0" fontId="48" fillId="35" borderId="14" xfId="0" applyFont="1" applyFill="1" applyBorder="1" applyAlignment="1">
      <alignment horizontal="center" vertical="center"/>
    </xf>
    <xf numFmtId="0" fontId="48" fillId="35" borderId="41" xfId="0" applyFont="1" applyFill="1" applyBorder="1" applyAlignment="1">
      <alignment horizontal="center" vertical="center"/>
    </xf>
    <xf numFmtId="0" fontId="48" fillId="35" borderId="17" xfId="0" applyFont="1" applyFill="1" applyBorder="1" applyAlignment="1">
      <alignment horizontal="center" vertical="center"/>
    </xf>
    <xf numFmtId="0" fontId="48" fillId="35" borderId="13" xfId="0" applyFont="1" applyFill="1" applyBorder="1" applyAlignment="1">
      <alignment horizontal="center" vertical="center"/>
    </xf>
    <xf numFmtId="0" fontId="0" fillId="34" borderId="16" xfId="0" applyFill="1" applyBorder="1" applyAlignment="1">
      <alignment horizontal="center" vertical="center"/>
    </xf>
    <xf numFmtId="0" fontId="0" fillId="34" borderId="0" xfId="0" applyFill="1" applyBorder="1" applyAlignment="1">
      <alignment horizontal="center" vertical="center"/>
    </xf>
    <xf numFmtId="0" fontId="0" fillId="0" borderId="20" xfId="0" applyFill="1" applyBorder="1" applyAlignment="1">
      <alignment horizontal="center" vertical="center"/>
    </xf>
    <xf numFmtId="0" fontId="46" fillId="37" borderId="42" xfId="0" applyFont="1" applyFill="1" applyBorder="1" applyAlignment="1">
      <alignment horizontal="center" vertical="center"/>
    </xf>
    <xf numFmtId="0" fontId="46" fillId="37" borderId="43" xfId="0" applyFont="1" applyFill="1" applyBorder="1" applyAlignment="1">
      <alignment horizontal="center" vertical="center"/>
    </xf>
    <xf numFmtId="0" fontId="46" fillId="37" borderId="44" xfId="0" applyFont="1" applyFill="1" applyBorder="1" applyAlignment="1">
      <alignment horizontal="center" vertical="center"/>
    </xf>
    <xf numFmtId="0" fontId="46" fillId="37" borderId="45" xfId="0" applyFont="1" applyFill="1" applyBorder="1" applyAlignment="1">
      <alignment horizontal="center" vertical="center"/>
    </xf>
    <xf numFmtId="0" fontId="46" fillId="37" borderId="46" xfId="0" applyFont="1" applyFill="1" applyBorder="1" applyAlignment="1">
      <alignment horizontal="center" vertical="center"/>
    </xf>
    <xf numFmtId="0" fontId="46" fillId="37" borderId="47" xfId="0" applyFont="1" applyFill="1" applyBorder="1" applyAlignment="1">
      <alignment horizontal="center" vertical="center"/>
    </xf>
    <xf numFmtId="0" fontId="0" fillId="33" borderId="48" xfId="0" applyFill="1" applyBorder="1" applyAlignment="1">
      <alignment horizontal="center" vertical="center"/>
    </xf>
    <xf numFmtId="0" fontId="0" fillId="33" borderId="49" xfId="0" applyFill="1" applyBorder="1" applyAlignment="1">
      <alignment horizontal="center" vertical="center"/>
    </xf>
    <xf numFmtId="0" fontId="0" fillId="33" borderId="50" xfId="0" applyFill="1" applyBorder="1" applyAlignment="1">
      <alignment horizontal="center" vertical="center"/>
    </xf>
    <xf numFmtId="0" fontId="46" fillId="37" borderId="51" xfId="0" applyFont="1" applyFill="1" applyBorder="1" applyAlignment="1">
      <alignment horizontal="center" vertical="center" textRotation="90"/>
    </xf>
    <xf numFmtId="0" fontId="46" fillId="37" borderId="52" xfId="0" applyFont="1" applyFill="1" applyBorder="1" applyAlignment="1">
      <alignment horizontal="center" vertical="center" textRotation="90"/>
    </xf>
    <xf numFmtId="0" fontId="46" fillId="37" borderId="53" xfId="0" applyFont="1" applyFill="1" applyBorder="1" applyAlignment="1">
      <alignment horizontal="center" vertical="center" textRotation="90"/>
    </xf>
    <xf numFmtId="0" fontId="46" fillId="37" borderId="42" xfId="0" applyFont="1" applyFill="1" applyBorder="1" applyAlignment="1">
      <alignment horizontal="center" vertical="center" textRotation="90"/>
    </xf>
    <xf numFmtId="0" fontId="46" fillId="37" borderId="43" xfId="0" applyFont="1" applyFill="1" applyBorder="1" applyAlignment="1">
      <alignment horizontal="center" vertical="center" textRotation="90"/>
    </xf>
    <xf numFmtId="0" fontId="46" fillId="37" borderId="44" xfId="0" applyFont="1" applyFill="1" applyBorder="1" applyAlignment="1">
      <alignment horizontal="center" vertical="center" textRotation="90"/>
    </xf>
    <xf numFmtId="0" fontId="46" fillId="37" borderId="42" xfId="0" applyFont="1" applyFill="1" applyBorder="1" applyAlignment="1">
      <alignment horizontal="center" vertical="center" textRotation="90" wrapText="1"/>
    </xf>
    <xf numFmtId="0" fontId="46" fillId="37" borderId="43" xfId="0" applyFont="1" applyFill="1" applyBorder="1" applyAlignment="1">
      <alignment horizontal="center" vertical="center" textRotation="90" wrapText="1"/>
    </xf>
    <xf numFmtId="0" fontId="46" fillId="37" borderId="44" xfId="0" applyFont="1" applyFill="1" applyBorder="1" applyAlignment="1">
      <alignment horizontal="center" vertical="center" textRotation="90" wrapText="1"/>
    </xf>
    <xf numFmtId="0" fontId="46" fillId="37" borderId="54" xfId="0" applyFont="1" applyFill="1" applyBorder="1" applyAlignment="1">
      <alignment horizontal="center" vertical="center"/>
    </xf>
    <xf numFmtId="0" fontId="46" fillId="37" borderId="55" xfId="0" applyFont="1" applyFill="1" applyBorder="1" applyAlignment="1">
      <alignment horizontal="center" vertical="center"/>
    </xf>
    <xf numFmtId="0" fontId="46" fillId="37" borderId="56" xfId="0" applyFont="1" applyFill="1" applyBorder="1" applyAlignment="1">
      <alignment horizontal="center" vertical="center"/>
    </xf>
    <xf numFmtId="1" fontId="46" fillId="37" borderId="57" xfId="0" applyNumberFormat="1" applyFont="1" applyFill="1" applyBorder="1" applyAlignment="1">
      <alignment horizontal="center" vertical="center" wrapText="1"/>
    </xf>
    <xf numFmtId="1" fontId="46" fillId="37" borderId="50" xfId="0" applyNumberFormat="1" applyFont="1" applyFill="1" applyBorder="1" applyAlignment="1">
      <alignment horizontal="center" vertical="center" wrapText="1"/>
    </xf>
    <xf numFmtId="0" fontId="46" fillId="35" borderId="14" xfId="0" applyFont="1" applyFill="1" applyBorder="1" applyAlignment="1">
      <alignment horizontal="center" vertical="center"/>
    </xf>
    <xf numFmtId="0" fontId="46" fillId="35" borderId="58" xfId="0" applyFont="1" applyFill="1" applyBorder="1" applyAlignment="1">
      <alignment horizontal="center" vertical="center"/>
    </xf>
    <xf numFmtId="0" fontId="46" fillId="35" borderId="41" xfId="0" applyFont="1" applyFill="1" applyBorder="1" applyAlignment="1">
      <alignment horizontal="center" vertical="center"/>
    </xf>
    <xf numFmtId="0" fontId="0" fillId="0" borderId="15" xfId="0" applyBorder="1" applyAlignment="1">
      <alignment horizontal="center" vertical="center"/>
    </xf>
    <xf numFmtId="0" fontId="0" fillId="36" borderId="15" xfId="0" applyFont="1" applyFill="1" applyBorder="1" applyAlignment="1">
      <alignment horizontal="center" vertical="center"/>
    </xf>
    <xf numFmtId="0" fontId="0" fillId="36" borderId="15" xfId="0" applyFont="1" applyFill="1" applyBorder="1" applyAlignment="1">
      <alignment horizontal="center" vertical="center" wrapText="1"/>
    </xf>
    <xf numFmtId="0" fontId="0" fillId="36" borderId="15" xfId="0" applyFill="1" applyBorder="1" applyAlignment="1">
      <alignment horizontal="center" vertical="center" wrapText="1"/>
    </xf>
    <xf numFmtId="0" fontId="0" fillId="34" borderId="17" xfId="0" applyFill="1" applyBorder="1" applyAlignment="1">
      <alignment horizontal="center" vertical="center"/>
    </xf>
    <xf numFmtId="0" fontId="0" fillId="34" borderId="18" xfId="0" applyFill="1" applyBorder="1" applyAlignment="1">
      <alignment horizontal="center" vertical="center"/>
    </xf>
    <xf numFmtId="0" fontId="0" fillId="37" borderId="57"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13" borderId="15" xfId="0" applyFont="1" applyFill="1" applyBorder="1" applyAlignment="1">
      <alignment horizontal="center" vertical="center" wrapText="1"/>
    </xf>
    <xf numFmtId="0" fontId="46" fillId="37" borderId="57" xfId="0" applyFont="1" applyFill="1" applyBorder="1" applyAlignment="1">
      <alignment horizontal="center" vertical="center" wrapText="1"/>
    </xf>
    <xf numFmtId="0" fontId="46" fillId="37" borderId="50" xfId="0" applyFont="1" applyFill="1" applyBorder="1" applyAlignment="1">
      <alignment horizontal="center" vertical="center" wrapText="1"/>
    </xf>
    <xf numFmtId="0" fontId="0" fillId="36" borderId="15" xfId="0" applyFill="1" applyBorder="1" applyAlignment="1">
      <alignment horizontal="center" vertical="center"/>
    </xf>
    <xf numFmtId="0" fontId="46" fillId="37" borderId="57" xfId="0" applyFont="1" applyFill="1" applyBorder="1" applyAlignment="1">
      <alignment horizontal="center" vertical="center"/>
    </xf>
    <xf numFmtId="0" fontId="46" fillId="37" borderId="50" xfId="0" applyFont="1" applyFill="1" applyBorder="1" applyAlignment="1">
      <alignment horizontal="center" vertical="center"/>
    </xf>
    <xf numFmtId="173" fontId="46" fillId="37" borderId="57" xfId="0" applyNumberFormat="1" applyFont="1" applyFill="1" applyBorder="1" applyAlignment="1">
      <alignment horizontal="center" vertical="center" wrapText="1"/>
    </xf>
    <xf numFmtId="173" fontId="46" fillId="37" borderId="50" xfId="0" applyNumberFormat="1" applyFont="1" applyFill="1" applyBorder="1" applyAlignment="1">
      <alignment horizontal="center" vertical="center" wrapText="1"/>
    </xf>
    <xf numFmtId="0" fontId="0" fillId="0" borderId="15" xfId="0" applyBorder="1" applyAlignment="1">
      <alignment horizontal="center" vertical="center" wrapText="1"/>
    </xf>
    <xf numFmtId="1" fontId="46" fillId="37" borderId="59" xfId="0" applyNumberFormat="1" applyFont="1" applyFill="1" applyBorder="1" applyAlignment="1">
      <alignment horizontal="center" vertical="center" wrapText="1"/>
    </xf>
    <xf numFmtId="1" fontId="46" fillId="37" borderId="44" xfId="0" applyNumberFormat="1" applyFont="1" applyFill="1" applyBorder="1" applyAlignment="1">
      <alignment horizontal="center" vertical="center" wrapText="1"/>
    </xf>
    <xf numFmtId="0" fontId="46" fillId="37" borderId="42" xfId="0" applyFont="1" applyFill="1" applyBorder="1" applyAlignment="1">
      <alignment horizontal="center" vertical="center" wrapText="1"/>
    </xf>
    <xf numFmtId="0" fontId="46" fillId="37" borderId="43" xfId="0" applyFont="1" applyFill="1" applyBorder="1" applyAlignment="1">
      <alignment horizontal="center" vertical="center" wrapText="1"/>
    </xf>
    <xf numFmtId="0" fontId="46" fillId="37" borderId="44" xfId="0" applyFont="1" applyFill="1" applyBorder="1" applyAlignment="1">
      <alignment horizontal="center" vertical="center" wrapText="1"/>
    </xf>
    <xf numFmtId="0" fontId="46" fillId="37" borderId="60" xfId="0" applyFont="1" applyFill="1" applyBorder="1" applyAlignment="1">
      <alignment horizontal="center" vertical="center"/>
    </xf>
    <xf numFmtId="0" fontId="46" fillId="37" borderId="61" xfId="0" applyFont="1" applyFill="1" applyBorder="1" applyAlignment="1">
      <alignment horizontal="center" vertical="center"/>
    </xf>
    <xf numFmtId="0" fontId="46" fillId="37" borderId="62" xfId="0" applyFont="1" applyFill="1" applyBorder="1" applyAlignment="1">
      <alignment horizontal="center" vertical="center"/>
    </xf>
    <xf numFmtId="0" fontId="46" fillId="37" borderId="63" xfId="0" applyFont="1" applyFill="1" applyBorder="1" applyAlignment="1">
      <alignment horizontal="center" vertical="center"/>
    </xf>
    <xf numFmtId="0" fontId="46" fillId="37" borderId="64" xfId="0" applyFont="1" applyFill="1" applyBorder="1" applyAlignment="1">
      <alignment horizontal="center" vertical="center"/>
    </xf>
    <xf numFmtId="0" fontId="46" fillId="37" borderId="65" xfId="0" applyFont="1" applyFill="1" applyBorder="1" applyAlignment="1">
      <alignment horizontal="center" vertical="center"/>
    </xf>
    <xf numFmtId="173" fontId="0" fillId="0" borderId="15" xfId="0" applyNumberFormat="1" applyFont="1" applyBorder="1" applyAlignment="1">
      <alignment horizontal="center" vertical="center"/>
    </xf>
    <xf numFmtId="0" fontId="0" fillId="0" borderId="19" xfId="0" applyBorder="1" applyAlignment="1">
      <alignment horizontal="center" vertical="center" wrapText="1"/>
    </xf>
    <xf numFmtId="0" fontId="0" fillId="0" borderId="59"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46" fillId="37" borderId="66" xfId="0" applyFont="1" applyFill="1" applyBorder="1" applyAlignment="1">
      <alignment horizontal="center" vertical="center"/>
    </xf>
    <xf numFmtId="0" fontId="46" fillId="37" borderId="67" xfId="0" applyFont="1" applyFill="1" applyBorder="1" applyAlignment="1">
      <alignment horizontal="center" vertical="center"/>
    </xf>
    <xf numFmtId="0" fontId="46" fillId="37" borderId="68" xfId="0" applyFont="1" applyFill="1" applyBorder="1" applyAlignment="1">
      <alignment horizontal="center" vertical="center"/>
    </xf>
    <xf numFmtId="0" fontId="46" fillId="37" borderId="69" xfId="0" applyFont="1" applyFill="1" applyBorder="1" applyAlignment="1">
      <alignment horizontal="center" vertical="center"/>
    </xf>
    <xf numFmtId="0" fontId="46" fillId="37" borderId="70" xfId="0" applyFont="1" applyFill="1" applyBorder="1" applyAlignment="1">
      <alignment horizontal="center" vertical="center"/>
    </xf>
    <xf numFmtId="0" fontId="46" fillId="37" borderId="71" xfId="0" applyFont="1" applyFill="1" applyBorder="1" applyAlignment="1">
      <alignment horizontal="center" vertical="center"/>
    </xf>
    <xf numFmtId="0" fontId="46" fillId="37" borderId="72" xfId="0" applyFont="1" applyFill="1" applyBorder="1" applyAlignment="1">
      <alignment horizontal="center" vertical="center"/>
    </xf>
    <xf numFmtId="0" fontId="46" fillId="37" borderId="24" xfId="0" applyFont="1" applyFill="1" applyBorder="1" applyAlignment="1">
      <alignment horizontal="center" vertical="center" wrapText="1"/>
    </xf>
    <xf numFmtId="0" fontId="46" fillId="37" borderId="24" xfId="0" applyFont="1" applyFill="1" applyBorder="1" applyAlignment="1">
      <alignment horizontal="center" vertical="center"/>
    </xf>
    <xf numFmtId="173" fontId="46" fillId="37" borderId="24" xfId="0" applyNumberFormat="1" applyFont="1" applyFill="1" applyBorder="1" applyAlignment="1">
      <alignment horizontal="center" vertical="center" wrapText="1"/>
    </xf>
    <xf numFmtId="1" fontId="46" fillId="37" borderId="24" xfId="0" applyNumberFormat="1" applyFont="1" applyFill="1" applyBorder="1" applyAlignment="1">
      <alignment horizontal="center" vertical="center" wrapText="1"/>
    </xf>
    <xf numFmtId="0" fontId="46" fillId="37" borderId="73" xfId="0" applyFont="1" applyFill="1" applyBorder="1" applyAlignment="1">
      <alignment horizontal="center" vertical="center"/>
    </xf>
    <xf numFmtId="0" fontId="46" fillId="37" borderId="74" xfId="0" applyFont="1" applyFill="1" applyBorder="1" applyAlignment="1">
      <alignment horizontal="center" vertical="center"/>
    </xf>
    <xf numFmtId="0" fontId="46" fillId="37" borderId="75" xfId="0" applyFont="1" applyFill="1" applyBorder="1" applyAlignment="1">
      <alignment horizontal="center" vertical="center"/>
    </xf>
    <xf numFmtId="0" fontId="46" fillId="35" borderId="16" xfId="0" applyFont="1" applyFill="1" applyBorder="1" applyAlignment="1">
      <alignment horizontal="center" vertical="center"/>
    </xf>
    <xf numFmtId="0" fontId="46" fillId="37" borderId="76" xfId="0" applyFont="1" applyFill="1" applyBorder="1" applyAlignment="1">
      <alignment horizontal="center" vertical="center" textRotation="90"/>
    </xf>
    <xf numFmtId="0" fontId="46" fillId="37" borderId="77" xfId="0" applyFont="1" applyFill="1" applyBorder="1" applyAlignment="1">
      <alignment horizontal="center" vertical="center" textRotation="90"/>
    </xf>
    <xf numFmtId="0" fontId="46" fillId="37" borderId="78" xfId="0" applyFont="1" applyFill="1" applyBorder="1" applyAlignment="1">
      <alignment horizontal="center" vertical="center" textRotation="90"/>
    </xf>
    <xf numFmtId="0" fontId="46" fillId="37" borderId="66" xfId="0" applyFont="1" applyFill="1" applyBorder="1" applyAlignment="1">
      <alignment horizontal="center" vertical="center" textRotation="90"/>
    </xf>
    <xf numFmtId="0" fontId="46" fillId="37" borderId="67" xfId="0" applyFont="1" applyFill="1" applyBorder="1" applyAlignment="1">
      <alignment horizontal="center" vertical="center" textRotation="90"/>
    </xf>
    <xf numFmtId="0" fontId="46" fillId="37" borderId="68" xfId="0" applyFont="1" applyFill="1" applyBorder="1" applyAlignment="1">
      <alignment horizontal="center" vertical="center" textRotation="90"/>
    </xf>
    <xf numFmtId="0" fontId="46" fillId="37" borderId="66" xfId="0" applyFont="1" applyFill="1" applyBorder="1" applyAlignment="1">
      <alignment horizontal="center" vertical="center" textRotation="90" wrapText="1"/>
    </xf>
    <xf numFmtId="0" fontId="46" fillId="37" borderId="67" xfId="0" applyFont="1" applyFill="1" applyBorder="1" applyAlignment="1">
      <alignment horizontal="center" vertical="center" textRotation="90" wrapText="1"/>
    </xf>
    <xf numFmtId="0" fontId="46" fillId="37" borderId="68" xfId="0" applyFont="1" applyFill="1" applyBorder="1" applyAlignment="1">
      <alignment horizontal="center" vertical="center" textRotation="90" wrapText="1"/>
    </xf>
    <xf numFmtId="0" fontId="46" fillId="37" borderId="59" xfId="0" applyFont="1" applyFill="1"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173" fontId="46" fillId="37" borderId="15" xfId="0" applyNumberFormat="1" applyFont="1" applyFill="1" applyBorder="1" applyAlignment="1">
      <alignment horizontal="center" vertical="center" wrapText="1"/>
    </xf>
    <xf numFmtId="0" fontId="46" fillId="37" borderId="79" xfId="0" applyFont="1" applyFill="1" applyBorder="1" applyAlignment="1">
      <alignment horizontal="center" vertical="center" textRotation="90"/>
    </xf>
    <xf numFmtId="0" fontId="46" fillId="37" borderId="62" xfId="0" applyFont="1" applyFill="1" applyBorder="1" applyAlignment="1">
      <alignment horizontal="center" vertical="center" textRotation="90"/>
    </xf>
    <xf numFmtId="0" fontId="46" fillId="37" borderId="64" xfId="0" applyFont="1" applyFill="1" applyBorder="1" applyAlignment="1">
      <alignment horizontal="center" vertical="center" textRotation="90"/>
    </xf>
    <xf numFmtId="0" fontId="46" fillId="37" borderId="80" xfId="0" applyFont="1" applyFill="1" applyBorder="1" applyAlignment="1">
      <alignment horizontal="center" vertical="center" textRotation="90"/>
    </xf>
    <xf numFmtId="0" fontId="46" fillId="37" borderId="0" xfId="0" applyFont="1" applyFill="1" applyBorder="1" applyAlignment="1">
      <alignment horizontal="center" vertical="center" textRotation="90"/>
    </xf>
    <xf numFmtId="0" fontId="46" fillId="37" borderId="81" xfId="0" applyFont="1" applyFill="1" applyBorder="1" applyAlignment="1">
      <alignment horizontal="center" vertical="center" textRotation="90"/>
    </xf>
    <xf numFmtId="0" fontId="46" fillId="37" borderId="80" xfId="0" applyFont="1" applyFill="1" applyBorder="1" applyAlignment="1">
      <alignment horizontal="center" vertical="center" textRotation="90" wrapText="1"/>
    </xf>
    <xf numFmtId="0" fontId="46" fillId="37" borderId="0" xfId="0" applyFont="1" applyFill="1" applyBorder="1" applyAlignment="1">
      <alignment horizontal="center" vertical="center" textRotation="90" wrapText="1"/>
    </xf>
    <xf numFmtId="0" fontId="46" fillId="37" borderId="81" xfId="0" applyFont="1" applyFill="1" applyBorder="1" applyAlignment="1">
      <alignment horizontal="center" vertical="center" textRotation="90" wrapText="1"/>
    </xf>
    <xf numFmtId="0" fontId="46" fillId="37" borderId="82" xfId="0" applyFont="1" applyFill="1" applyBorder="1" applyAlignment="1">
      <alignment horizontal="center" vertical="center"/>
    </xf>
    <xf numFmtId="1" fontId="46" fillId="37" borderId="15" xfId="0" applyNumberFormat="1" applyFont="1" applyFill="1" applyBorder="1" applyAlignment="1">
      <alignment horizontal="center" vertical="center" wrapText="1"/>
    </xf>
    <xf numFmtId="0" fontId="46" fillId="37" borderId="15" xfId="0" applyFont="1" applyFill="1" applyBorder="1" applyAlignment="1">
      <alignment horizontal="center" vertical="center" wrapText="1"/>
    </xf>
    <xf numFmtId="0" fontId="46" fillId="37" borderId="15" xfId="0" applyFont="1" applyFill="1" applyBorder="1" applyAlignment="1">
      <alignment horizontal="center" vertical="center"/>
    </xf>
    <xf numFmtId="0" fontId="46" fillId="37" borderId="49" xfId="0"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13" borderId="15" xfId="0" applyFill="1" applyBorder="1" applyAlignment="1">
      <alignment horizontal="center" vertical="center" wrapText="1"/>
    </xf>
    <xf numFmtId="0" fontId="0" fillId="3" borderId="15" xfId="0" applyFill="1" applyBorder="1" applyAlignment="1">
      <alignment horizontal="center" vertical="center"/>
    </xf>
    <xf numFmtId="0" fontId="46" fillId="37" borderId="80" xfId="0" applyFont="1" applyFill="1" applyBorder="1" applyAlignment="1">
      <alignment horizontal="center" vertical="center"/>
    </xf>
    <xf numFmtId="0" fontId="46" fillId="37" borderId="0" xfId="0" applyFont="1" applyFill="1" applyBorder="1" applyAlignment="1">
      <alignment horizontal="center" vertical="center"/>
    </xf>
    <xf numFmtId="0" fontId="46" fillId="37" borderId="81" xfId="0" applyFont="1" applyFill="1" applyBorder="1" applyAlignment="1">
      <alignment horizontal="center" vertical="center"/>
    </xf>
    <xf numFmtId="0" fontId="0" fillId="3" borderId="15" xfId="0" applyFill="1" applyBorder="1" applyAlignment="1">
      <alignment horizontal="center" vertical="center" wrapText="1"/>
    </xf>
    <xf numFmtId="0" fontId="0" fillId="13" borderId="15" xfId="0" applyFill="1" applyBorder="1" applyAlignment="1">
      <alignment horizontal="center" vertical="center"/>
    </xf>
    <xf numFmtId="0" fontId="46" fillId="34" borderId="15" xfId="0" applyFont="1" applyFill="1" applyBorder="1" applyAlignment="1">
      <alignment horizontal="center" vertical="center"/>
    </xf>
    <xf numFmtId="0" fontId="53" fillId="34" borderId="15" xfId="0" applyFont="1" applyFill="1" applyBorder="1" applyAlignment="1">
      <alignment horizontal="center" vertical="center"/>
    </xf>
    <xf numFmtId="0" fontId="46" fillId="35" borderId="15" xfId="0" applyFont="1" applyFill="1" applyBorder="1" applyAlignment="1">
      <alignment horizontal="center" vertical="center"/>
    </xf>
    <xf numFmtId="0" fontId="46" fillId="33" borderId="15" xfId="0" applyFont="1" applyFill="1" applyBorder="1" applyAlignment="1">
      <alignment horizontal="center" vertical="center"/>
    </xf>
    <xf numFmtId="0" fontId="46" fillId="0" borderId="15" xfId="0" applyFont="1" applyBorder="1" applyAlignment="1">
      <alignment horizontal="center" vertical="center"/>
    </xf>
    <xf numFmtId="1" fontId="46" fillId="37" borderId="30" xfId="0" applyNumberFormat="1" applyFont="1" applyFill="1" applyBorder="1" applyAlignment="1">
      <alignment horizontal="center" vertical="center"/>
    </xf>
    <xf numFmtId="1" fontId="46" fillId="37" borderId="32" xfId="0" applyNumberFormat="1" applyFont="1" applyFill="1" applyBorder="1" applyAlignment="1">
      <alignment horizontal="center" vertical="center"/>
    </xf>
    <xf numFmtId="1" fontId="46" fillId="37" borderId="31" xfId="0" applyNumberFormat="1" applyFont="1" applyFill="1" applyBorder="1" applyAlignment="1">
      <alignment horizontal="center" vertical="center"/>
    </xf>
    <xf numFmtId="0" fontId="46" fillId="37" borderId="37" xfId="0" applyFont="1" applyFill="1" applyBorder="1" applyAlignment="1">
      <alignment horizontal="center" vertical="center" wrapText="1"/>
    </xf>
    <xf numFmtId="0" fontId="46" fillId="37" borderId="67" xfId="0" applyFont="1" applyFill="1" applyBorder="1" applyAlignment="1">
      <alignment horizontal="center" vertical="center" wrapText="1"/>
    </xf>
    <xf numFmtId="0" fontId="46" fillId="37" borderId="68" xfId="0" applyFont="1" applyFill="1" applyBorder="1" applyAlignment="1">
      <alignment horizontal="center" vertical="center" wrapText="1"/>
    </xf>
    <xf numFmtId="0" fontId="46" fillId="37" borderId="37" xfId="0" applyFont="1" applyFill="1" applyBorder="1" applyAlignment="1">
      <alignment horizontal="center" vertical="center"/>
    </xf>
    <xf numFmtId="0" fontId="46" fillId="37" borderId="37" xfId="0" applyFont="1" applyFill="1" applyBorder="1" applyAlignment="1">
      <alignment horizontal="center" vertical="center" textRotation="90"/>
    </xf>
    <xf numFmtId="0" fontId="46" fillId="37" borderId="37" xfId="0" applyFont="1" applyFill="1" applyBorder="1" applyAlignment="1">
      <alignment horizontal="center" vertical="center" textRotation="90" wrapText="1"/>
    </xf>
    <xf numFmtId="0" fontId="46" fillId="37" borderId="83" xfId="0" applyFont="1" applyFill="1" applyBorder="1" applyAlignment="1">
      <alignment horizontal="center" vertical="center"/>
    </xf>
    <xf numFmtId="0" fontId="46" fillId="37" borderId="84" xfId="0" applyFont="1" applyFill="1" applyBorder="1" applyAlignment="1">
      <alignment horizontal="center" vertical="center"/>
    </xf>
    <xf numFmtId="0" fontId="46" fillId="37" borderId="85" xfId="0" applyFont="1" applyFill="1" applyBorder="1" applyAlignment="1">
      <alignment horizontal="center" vertical="center"/>
    </xf>
    <xf numFmtId="0" fontId="46" fillId="37" borderId="86" xfId="0" applyFont="1" applyFill="1" applyBorder="1" applyAlignment="1">
      <alignment horizontal="center" vertical="center"/>
    </xf>
    <xf numFmtId="0" fontId="46" fillId="37" borderId="87" xfId="0" applyFont="1" applyFill="1" applyBorder="1" applyAlignment="1">
      <alignment horizontal="center" vertical="center"/>
    </xf>
    <xf numFmtId="0" fontId="46" fillId="37" borderId="88" xfId="0" applyFont="1" applyFill="1" applyBorder="1" applyAlignment="1">
      <alignment horizontal="center" vertical="center"/>
    </xf>
    <xf numFmtId="0" fontId="51" fillId="0" borderId="24" xfId="0" applyFont="1" applyBorder="1" applyAlignment="1">
      <alignment horizontal="center" vertical="center"/>
    </xf>
    <xf numFmtId="0" fontId="0" fillId="0" borderId="24" xfId="0" applyBorder="1" applyAlignment="1">
      <alignment horizontal="center" vertical="center"/>
    </xf>
    <xf numFmtId="173" fontId="0" fillId="0" borderId="24" xfId="0" applyNumberFormat="1" applyBorder="1" applyAlignment="1">
      <alignment horizontal="center" vertical="center"/>
    </xf>
    <xf numFmtId="1" fontId="0" fillId="0" borderId="24" xfId="0" applyNumberFormat="1" applyBorder="1" applyAlignment="1">
      <alignment horizontal="center" vertical="center"/>
    </xf>
    <xf numFmtId="0" fontId="7" fillId="0" borderId="24" xfId="0" applyFont="1" applyBorder="1" applyAlignment="1">
      <alignment horizontal="center" vertical="center" wrapText="1"/>
    </xf>
    <xf numFmtId="173" fontId="0" fillId="0" borderId="37" xfId="0" applyNumberFormat="1" applyBorder="1" applyAlignment="1">
      <alignment horizontal="center" vertical="center"/>
    </xf>
    <xf numFmtId="173" fontId="0" fillId="0" borderId="67" xfId="0" applyNumberFormat="1" applyBorder="1" applyAlignment="1">
      <alignment horizontal="center" vertical="center"/>
    </xf>
    <xf numFmtId="173" fontId="0" fillId="0" borderId="68" xfId="0" applyNumberFormat="1" applyBorder="1" applyAlignment="1">
      <alignment horizontal="center" vertical="center"/>
    </xf>
    <xf numFmtId="1" fontId="7" fillId="0" borderId="24" xfId="0" applyNumberFormat="1" applyFont="1" applyBorder="1" applyAlignment="1">
      <alignment horizontal="center" vertical="center"/>
    </xf>
    <xf numFmtId="172" fontId="46" fillId="37" borderId="24" xfId="0" applyNumberFormat="1" applyFont="1" applyFill="1" applyBorder="1" applyAlignment="1">
      <alignment horizontal="center" vertical="center" wrapText="1"/>
    </xf>
    <xf numFmtId="1" fontId="46" fillId="37" borderId="24" xfId="0" applyNumberFormat="1" applyFont="1" applyFill="1" applyBorder="1" applyAlignment="1">
      <alignment horizontal="center" vertical="center"/>
    </xf>
    <xf numFmtId="0" fontId="0" fillId="13" borderId="30" xfId="0" applyFill="1" applyBorder="1" applyAlignment="1">
      <alignment horizontal="center" vertical="center" wrapText="1"/>
    </xf>
    <xf numFmtId="0" fontId="0" fillId="13" borderId="31" xfId="0" applyFill="1" applyBorder="1" applyAlignment="1">
      <alignment horizontal="center" vertical="center" wrapText="1"/>
    </xf>
    <xf numFmtId="0" fontId="0" fillId="13" borderId="30" xfId="0" applyFill="1" applyBorder="1" applyAlignment="1">
      <alignment horizontal="center" vertical="center"/>
    </xf>
    <xf numFmtId="0" fontId="0" fillId="13" borderId="31" xfId="0" applyFill="1" applyBorder="1" applyAlignment="1">
      <alignment horizontal="center" vertical="center"/>
    </xf>
    <xf numFmtId="1" fontId="0" fillId="33" borderId="83" xfId="0" applyNumberFormat="1" applyFill="1" applyBorder="1" applyAlignment="1">
      <alignment horizontal="center" vertical="center"/>
    </xf>
    <xf numFmtId="1" fontId="0" fillId="33" borderId="34" xfId="0" applyNumberFormat="1" applyFill="1" applyBorder="1" applyAlignment="1">
      <alignment horizontal="center" vertical="center"/>
    </xf>
    <xf numFmtId="1" fontId="0" fillId="33" borderId="84" xfId="0" applyNumberFormat="1" applyFill="1" applyBorder="1" applyAlignment="1">
      <alignment horizontal="center" vertical="center"/>
    </xf>
    <xf numFmtId="1" fontId="0" fillId="33" borderId="87" xfId="0" applyNumberFormat="1" applyFill="1" applyBorder="1" applyAlignment="1">
      <alignment horizontal="center" vertical="center"/>
    </xf>
    <xf numFmtId="1" fontId="0" fillId="33" borderId="89" xfId="0" applyNumberFormat="1" applyFill="1" applyBorder="1" applyAlignment="1">
      <alignment horizontal="center" vertical="center"/>
    </xf>
    <xf numFmtId="1" fontId="0" fillId="33" borderId="88" xfId="0" applyNumberFormat="1" applyFill="1" applyBorder="1" applyAlignment="1">
      <alignment horizontal="center" vertical="center"/>
    </xf>
    <xf numFmtId="0" fontId="0" fillId="0" borderId="11" xfId="0" applyBorder="1" applyAlignment="1">
      <alignment horizontal="left" vertical="center"/>
    </xf>
    <xf numFmtId="0" fontId="0" fillId="0" borderId="90" xfId="0" applyBorder="1" applyAlignment="1">
      <alignment horizontal="left" vertical="center"/>
    </xf>
    <xf numFmtId="0" fontId="0" fillId="0" borderId="91" xfId="0" applyBorder="1" applyAlignment="1">
      <alignment horizontal="left" vertical="center"/>
    </xf>
    <xf numFmtId="0" fontId="7" fillId="13" borderId="30" xfId="0" applyFont="1" applyFill="1" applyBorder="1" applyAlignment="1">
      <alignment horizontal="center" vertical="center" wrapText="1"/>
    </xf>
    <xf numFmtId="0" fontId="7" fillId="13" borderId="31"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46" fillId="37" borderId="30" xfId="0" applyFont="1" applyFill="1" applyBorder="1" applyAlignment="1">
      <alignment horizontal="center" vertical="center"/>
    </xf>
    <xf numFmtId="0" fontId="46" fillId="37" borderId="31" xfId="0" applyFont="1" applyFill="1" applyBorder="1" applyAlignment="1">
      <alignment horizontal="center" vertical="center"/>
    </xf>
    <xf numFmtId="0" fontId="46" fillId="35" borderId="24" xfId="0" applyFont="1" applyFill="1" applyBorder="1" applyAlignment="1">
      <alignment horizontal="center" vertical="center"/>
    </xf>
    <xf numFmtId="1" fontId="46" fillId="37" borderId="92" xfId="0" applyNumberFormat="1" applyFont="1" applyFill="1" applyBorder="1" applyAlignment="1">
      <alignment horizontal="center" vertical="center"/>
    </xf>
    <xf numFmtId="1" fontId="46" fillId="37" borderId="93" xfId="0" applyNumberFormat="1" applyFont="1" applyFill="1" applyBorder="1" applyAlignment="1">
      <alignment horizontal="center" vertical="center"/>
    </xf>
    <xf numFmtId="1" fontId="46" fillId="37" borderId="94" xfId="0" applyNumberFormat="1" applyFont="1" applyFill="1" applyBorder="1" applyAlignment="1">
      <alignment horizontal="center" vertical="center"/>
    </xf>
    <xf numFmtId="0" fontId="0" fillId="36" borderId="24" xfId="0" applyFill="1" applyBorder="1" applyAlignment="1">
      <alignment horizontal="center" vertical="center"/>
    </xf>
    <xf numFmtId="0" fontId="0" fillId="13" borderId="24" xfId="0" applyFont="1" applyFill="1" applyBorder="1" applyAlignment="1">
      <alignment horizontal="center" vertical="center" wrapText="1"/>
    </xf>
    <xf numFmtId="0" fontId="46" fillId="37" borderId="89" xfId="0" applyFont="1" applyFill="1" applyBorder="1" applyAlignment="1">
      <alignment horizontal="center" vertical="center"/>
    </xf>
    <xf numFmtId="1" fontId="0" fillId="0" borderId="24" xfId="0" applyNumberFormat="1" applyFont="1" applyBorder="1" applyAlignment="1">
      <alignment horizontal="center" vertical="center"/>
    </xf>
    <xf numFmtId="0" fontId="0" fillId="0" borderId="37" xfId="0" applyBorder="1" applyAlignment="1">
      <alignment horizontal="center" vertical="center" wrapText="1"/>
    </xf>
    <xf numFmtId="0" fontId="0" fillId="0" borderId="68" xfId="0" applyBorder="1" applyAlignment="1">
      <alignment horizontal="center" vertical="center" wrapText="1"/>
    </xf>
    <xf numFmtId="0" fontId="46" fillId="37" borderId="28" xfId="0" applyFont="1" applyFill="1" applyBorder="1" applyAlignment="1">
      <alignment horizontal="center" vertical="center" textRotation="90" wrapText="1"/>
    </xf>
    <xf numFmtId="0" fontId="46" fillId="37" borderId="95" xfId="0" applyFont="1" applyFill="1" applyBorder="1" applyAlignment="1">
      <alignment horizontal="center" vertical="center" textRotation="90" wrapText="1"/>
    </xf>
    <xf numFmtId="0" fontId="46" fillId="37" borderId="72" xfId="0" applyFont="1" applyFill="1" applyBorder="1" applyAlignment="1">
      <alignment horizontal="center" vertical="center" textRotation="90" wrapText="1"/>
    </xf>
    <xf numFmtId="0" fontId="46" fillId="37" borderId="28" xfId="0" applyFont="1" applyFill="1" applyBorder="1" applyAlignment="1">
      <alignment horizontal="center" vertical="center"/>
    </xf>
    <xf numFmtId="0" fontId="46" fillId="37" borderId="95" xfId="0" applyFont="1" applyFill="1" applyBorder="1" applyAlignment="1">
      <alignment horizontal="center" vertical="center"/>
    </xf>
    <xf numFmtId="0" fontId="0" fillId="33" borderId="37" xfId="0" applyFill="1" applyBorder="1" applyAlignment="1">
      <alignment horizontal="center" vertical="center" wrapText="1"/>
    </xf>
    <xf numFmtId="0" fontId="0" fillId="33" borderId="67" xfId="0" applyFill="1" applyBorder="1" applyAlignment="1">
      <alignment horizontal="center" vertical="center" wrapText="1"/>
    </xf>
    <xf numFmtId="0" fontId="0" fillId="33" borderId="68" xfId="0" applyFill="1" applyBorder="1" applyAlignment="1">
      <alignment horizontal="center" vertical="center" wrapText="1"/>
    </xf>
    <xf numFmtId="1" fontId="46" fillId="37" borderId="86" xfId="0" applyNumberFormat="1" applyFont="1" applyFill="1" applyBorder="1" applyAlignment="1">
      <alignment horizontal="center" vertical="center" wrapText="1"/>
    </xf>
    <xf numFmtId="1" fontId="46" fillId="37" borderId="88" xfId="0" applyNumberFormat="1" applyFont="1" applyFill="1" applyBorder="1" applyAlignment="1">
      <alignment horizontal="center" vertical="center" wrapText="1"/>
    </xf>
    <xf numFmtId="173" fontId="0" fillId="0" borderId="24" xfId="0" applyNumberFormat="1" applyFont="1" applyBorder="1" applyAlignment="1">
      <alignment horizontal="center" vertical="center"/>
    </xf>
    <xf numFmtId="0" fontId="0" fillId="3" borderId="30"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13" borderId="30" xfId="0" applyFont="1" applyFill="1" applyBorder="1" applyAlignment="1">
      <alignment horizontal="center" vertical="center" wrapText="1"/>
    </xf>
    <xf numFmtId="0" fontId="0" fillId="13" borderId="32" xfId="0" applyFont="1" applyFill="1" applyBorder="1" applyAlignment="1">
      <alignment horizontal="center" vertical="center" wrapText="1"/>
    </xf>
    <xf numFmtId="0" fontId="0" fillId="13" borderId="31" xfId="0" applyFont="1" applyFill="1" applyBorder="1" applyAlignment="1">
      <alignment horizontal="center" vertical="center" wrapText="1"/>
    </xf>
    <xf numFmtId="0" fontId="46" fillId="35" borderId="30" xfId="0" applyFont="1" applyFill="1" applyBorder="1" applyAlignment="1">
      <alignment horizontal="center" vertical="center"/>
    </xf>
    <xf numFmtId="0" fontId="46" fillId="35" borderId="32" xfId="0" applyFont="1" applyFill="1" applyBorder="1" applyAlignment="1">
      <alignment horizontal="center" vertical="center"/>
    </xf>
    <xf numFmtId="0" fontId="46" fillId="35" borderId="31" xfId="0" applyFont="1" applyFill="1" applyBorder="1" applyAlignment="1">
      <alignment horizontal="center" vertical="center"/>
    </xf>
    <xf numFmtId="0" fontId="0" fillId="36" borderId="30"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4" xfId="0" applyFont="1" applyBorder="1" applyAlignment="1">
      <alignment horizontal="center" vertical="center"/>
    </xf>
    <xf numFmtId="0" fontId="0" fillId="3" borderId="30" xfId="0" applyFill="1" applyBorder="1" applyAlignment="1">
      <alignment horizontal="center" vertical="center" wrapText="1"/>
    </xf>
    <xf numFmtId="0" fontId="0" fillId="3" borderId="32" xfId="0" applyFill="1" applyBorder="1" applyAlignment="1">
      <alignment horizontal="center" vertical="center" wrapText="1"/>
    </xf>
    <xf numFmtId="0" fontId="0" fillId="3" borderId="31" xfId="0" applyFill="1" applyBorder="1" applyAlignment="1">
      <alignment horizontal="center" vertical="center" wrapText="1"/>
    </xf>
    <xf numFmtId="173" fontId="0" fillId="0" borderId="24" xfId="0" applyNumberFormat="1" applyFont="1" applyFill="1" applyBorder="1" applyAlignment="1">
      <alignment horizontal="center" vertical="center"/>
    </xf>
    <xf numFmtId="0" fontId="0" fillId="0" borderId="24" xfId="0" applyFont="1" applyFill="1" applyBorder="1" applyAlignment="1">
      <alignment horizontal="center" vertical="center" wrapText="1"/>
    </xf>
    <xf numFmtId="0" fontId="0" fillId="36" borderId="30" xfId="0" applyFill="1" applyBorder="1" applyAlignment="1">
      <alignment horizontal="center" vertical="center"/>
    </xf>
    <xf numFmtId="0" fontId="0" fillId="36" borderId="32" xfId="0" applyFill="1" applyBorder="1" applyAlignment="1">
      <alignment horizontal="center" vertical="center"/>
    </xf>
    <xf numFmtId="0" fontId="0" fillId="36" borderId="31" xfId="0" applyFill="1" applyBorder="1" applyAlignment="1">
      <alignment horizontal="center" vertical="center"/>
    </xf>
    <xf numFmtId="0" fontId="0" fillId="13" borderId="32" xfId="0" applyFill="1" applyBorder="1" applyAlignment="1">
      <alignment horizontal="center" vertical="center" wrapText="1"/>
    </xf>
    <xf numFmtId="0" fontId="0" fillId="13" borderId="32" xfId="0" applyFill="1" applyBorder="1" applyAlignment="1">
      <alignment horizontal="center" vertical="center"/>
    </xf>
    <xf numFmtId="0" fontId="0" fillId="13" borderId="30" xfId="0" applyFont="1" applyFill="1" applyBorder="1" applyAlignment="1">
      <alignment horizontal="center" vertical="center"/>
    </xf>
    <xf numFmtId="0" fontId="0" fillId="13" borderId="32" xfId="0" applyFont="1" applyFill="1" applyBorder="1" applyAlignment="1">
      <alignment horizontal="center" vertical="center"/>
    </xf>
    <xf numFmtId="0" fontId="0" fillId="13" borderId="31" xfId="0" applyFont="1" applyFill="1" applyBorder="1" applyAlignment="1">
      <alignment horizontal="center" vertical="center"/>
    </xf>
    <xf numFmtId="0" fontId="0" fillId="36" borderId="30" xfId="0" applyFill="1" applyBorder="1" applyAlignment="1">
      <alignment horizontal="center" vertical="center" wrapText="1"/>
    </xf>
    <xf numFmtId="0" fontId="0" fillId="36" borderId="32" xfId="0" applyFill="1" applyBorder="1" applyAlignment="1">
      <alignment horizontal="center" vertical="center" wrapText="1"/>
    </xf>
    <xf numFmtId="0" fontId="0" fillId="36" borderId="31" xfId="0" applyFill="1"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46" fillId="37" borderId="28" xfId="0" applyFont="1" applyFill="1" applyBorder="1" applyAlignment="1">
      <alignment horizontal="center" vertical="center" textRotation="90"/>
    </xf>
    <xf numFmtId="0" fontId="46" fillId="37" borderId="95" xfId="0" applyFont="1" applyFill="1" applyBorder="1" applyAlignment="1">
      <alignment horizontal="center" vertical="center" textRotation="90"/>
    </xf>
    <xf numFmtId="0" fontId="46" fillId="37" borderId="72" xfId="0" applyFont="1" applyFill="1" applyBorder="1" applyAlignment="1">
      <alignment horizontal="center" vertical="center" textRotation="90"/>
    </xf>
    <xf numFmtId="0" fontId="0" fillId="0" borderId="16" xfId="0" applyBorder="1" applyAlignment="1">
      <alignment horizontal="right" vertical="center"/>
    </xf>
    <xf numFmtId="0" fontId="0" fillId="0" borderId="0" xfId="0" applyBorder="1" applyAlignment="1">
      <alignment horizontal="right"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6" xfId="0" applyFill="1" applyBorder="1" applyAlignment="1">
      <alignment horizontal="center" vertical="center" wrapText="1"/>
    </xf>
    <xf numFmtId="0" fontId="0" fillId="0" borderId="0" xfId="0" applyFill="1" applyBorder="1" applyAlignment="1">
      <alignment horizontal="center" vertical="center" wrapText="1"/>
    </xf>
    <xf numFmtId="0" fontId="46" fillId="34" borderId="30" xfId="0" applyFont="1" applyFill="1" applyBorder="1" applyAlignment="1">
      <alignment horizontal="left" vertical="center"/>
    </xf>
    <xf numFmtId="0" fontId="46" fillId="34" borderId="32" xfId="0" applyFont="1" applyFill="1" applyBorder="1" applyAlignment="1">
      <alignment horizontal="left" vertical="center"/>
    </xf>
    <xf numFmtId="0" fontId="46" fillId="34" borderId="31" xfId="0" applyFont="1" applyFill="1" applyBorder="1" applyAlignment="1">
      <alignment horizontal="left" vertical="center"/>
    </xf>
    <xf numFmtId="0" fontId="0" fillId="36" borderId="30" xfId="0" applyFont="1" applyFill="1" applyBorder="1" applyAlignment="1">
      <alignment horizontal="center" vertical="center" wrapText="1"/>
    </xf>
    <xf numFmtId="0" fontId="0" fillId="36" borderId="32" xfId="0" applyFont="1" applyFill="1" applyBorder="1" applyAlignment="1">
      <alignment horizontal="center" vertical="center" wrapText="1"/>
    </xf>
    <xf numFmtId="0" fontId="0" fillId="36" borderId="31" xfId="0" applyFont="1" applyFill="1" applyBorder="1" applyAlignment="1">
      <alignment horizontal="center" vertical="center" wrapText="1"/>
    </xf>
    <xf numFmtId="0" fontId="0" fillId="0" borderId="37" xfId="0" applyFill="1" applyBorder="1" applyAlignment="1">
      <alignment horizontal="center" vertical="center"/>
    </xf>
    <xf numFmtId="0" fontId="0" fillId="0" borderId="68" xfId="0" applyFill="1" applyBorder="1" applyAlignment="1">
      <alignment horizontal="center" vertical="center"/>
    </xf>
    <xf numFmtId="0" fontId="0" fillId="3" borderId="30"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31" xfId="0" applyFont="1" applyFill="1" applyBorder="1" applyAlignment="1">
      <alignment horizontal="center" vertical="center"/>
    </xf>
    <xf numFmtId="0" fontId="52" fillId="39" borderId="96" xfId="0" applyFont="1" applyFill="1" applyBorder="1" applyAlignment="1">
      <alignment horizontal="center" vertical="center" wrapText="1"/>
    </xf>
    <xf numFmtId="0" fontId="52" fillId="39" borderId="97" xfId="0" applyFont="1" applyFill="1" applyBorder="1" applyAlignment="1">
      <alignment horizontal="center" vertical="center" wrapText="1"/>
    </xf>
    <xf numFmtId="0" fontId="52" fillId="39" borderId="98" xfId="0" applyFont="1" applyFill="1" applyBorder="1" applyAlignment="1">
      <alignment horizontal="center" vertical="center" wrapText="1"/>
    </xf>
    <xf numFmtId="0" fontId="52" fillId="39" borderId="99" xfId="0" applyFont="1" applyFill="1" applyBorder="1" applyAlignment="1">
      <alignment horizontal="center" vertical="center" wrapText="1"/>
    </xf>
    <xf numFmtId="1" fontId="46" fillId="37" borderId="100" xfId="0" applyNumberFormat="1" applyFont="1" applyFill="1" applyBorder="1" applyAlignment="1">
      <alignment horizontal="center" vertical="center"/>
    </xf>
    <xf numFmtId="1" fontId="46" fillId="37" borderId="101" xfId="0" applyNumberFormat="1" applyFont="1" applyFill="1" applyBorder="1" applyAlignment="1">
      <alignment horizontal="center" vertical="center"/>
    </xf>
    <xf numFmtId="1" fontId="46" fillId="37" borderId="102" xfId="0" applyNumberFormat="1" applyFont="1" applyFill="1" applyBorder="1" applyAlignment="1">
      <alignment horizontal="center" vertical="center"/>
    </xf>
    <xf numFmtId="0" fontId="0" fillId="3" borderId="30" xfId="0" applyFill="1" applyBorder="1" applyAlignment="1">
      <alignment horizontal="center" vertical="center"/>
    </xf>
    <xf numFmtId="0" fontId="0" fillId="3" borderId="31" xfId="0" applyFill="1" applyBorder="1" applyAlignment="1">
      <alignment horizontal="center" vertical="center"/>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1" fontId="46" fillId="37" borderId="84" xfId="0" applyNumberFormat="1" applyFont="1" applyFill="1" applyBorder="1" applyAlignment="1">
      <alignment horizontal="center" vertical="center" wrapText="1"/>
    </xf>
    <xf numFmtId="0" fontId="46" fillId="35" borderId="30" xfId="0" applyFont="1" applyFill="1" applyBorder="1" applyAlignment="1">
      <alignment horizontal="left" vertical="center"/>
    </xf>
    <xf numFmtId="0" fontId="46" fillId="35" borderId="31" xfId="0" applyFont="1" applyFill="1" applyBorder="1" applyAlignment="1">
      <alignment horizontal="left" vertical="center"/>
    </xf>
    <xf numFmtId="0" fontId="46" fillId="34" borderId="30" xfId="0" applyFont="1" applyFill="1" applyBorder="1" applyAlignment="1">
      <alignment horizontal="center" vertical="center"/>
    </xf>
    <xf numFmtId="0" fontId="46" fillId="34" borderId="31" xfId="0" applyFont="1" applyFill="1" applyBorder="1" applyAlignment="1">
      <alignment horizontal="center" vertical="center"/>
    </xf>
    <xf numFmtId="0" fontId="0" fillId="36" borderId="24" xfId="0" applyFont="1" applyFill="1" applyBorder="1" applyAlignment="1">
      <alignment horizontal="center" vertical="center" wrapText="1"/>
    </xf>
    <xf numFmtId="0" fontId="46" fillId="34" borderId="24" xfId="0" applyFont="1" applyFill="1" applyBorder="1" applyAlignment="1">
      <alignment horizontal="center" vertical="center" wrapText="1"/>
    </xf>
    <xf numFmtId="0" fontId="0" fillId="37" borderId="37" xfId="0" applyFill="1" applyBorder="1" applyAlignment="1">
      <alignment horizontal="center" vertical="center"/>
    </xf>
    <xf numFmtId="0" fontId="0" fillId="37" borderId="67" xfId="0" applyFill="1" applyBorder="1" applyAlignment="1">
      <alignment horizontal="center" vertical="center"/>
    </xf>
    <xf numFmtId="0" fontId="0" fillId="37" borderId="68" xfId="0" applyFill="1" applyBorder="1" applyAlignment="1">
      <alignment horizontal="center" vertical="center"/>
    </xf>
    <xf numFmtId="0" fontId="46" fillId="37" borderId="89" xfId="0" applyFont="1" applyFill="1" applyBorder="1" applyAlignment="1">
      <alignment horizontal="center" vertical="center" textRotation="90"/>
    </xf>
    <xf numFmtId="0" fontId="46" fillId="37" borderId="86" xfId="0" applyFont="1" applyFill="1" applyBorder="1" applyAlignment="1">
      <alignment horizontal="center" vertical="center" textRotation="90"/>
    </xf>
    <xf numFmtId="0" fontId="46" fillId="37" borderId="88" xfId="0" applyFont="1" applyFill="1" applyBorder="1" applyAlignment="1">
      <alignment horizontal="center" vertical="center" textRotation="90"/>
    </xf>
    <xf numFmtId="173" fontId="46" fillId="37" borderId="30" xfId="0" applyNumberFormat="1" applyFont="1" applyFill="1" applyBorder="1" applyAlignment="1">
      <alignment horizontal="center" vertical="center" wrapText="1"/>
    </xf>
    <xf numFmtId="173" fontId="46" fillId="37" borderId="31" xfId="0" applyNumberFormat="1" applyFont="1" applyFill="1" applyBorder="1" applyAlignment="1">
      <alignment horizontal="center" vertical="center" wrapText="1"/>
    </xf>
    <xf numFmtId="0" fontId="46" fillId="35" borderId="87" xfId="0" applyFont="1" applyFill="1" applyBorder="1" applyAlignment="1">
      <alignment horizontal="left" vertical="center" wrapText="1"/>
    </xf>
    <xf numFmtId="0" fontId="46" fillId="35" borderId="89" xfId="0" applyFont="1" applyFill="1" applyBorder="1" applyAlignment="1">
      <alignment horizontal="left" vertical="center" wrapText="1"/>
    </xf>
    <xf numFmtId="0" fontId="46" fillId="35" borderId="88" xfId="0" applyFont="1" applyFill="1" applyBorder="1" applyAlignment="1">
      <alignment horizontal="left" vertical="center" wrapText="1"/>
    </xf>
    <xf numFmtId="1" fontId="46" fillId="37" borderId="89" xfId="0" applyNumberFormat="1" applyFont="1" applyFill="1" applyBorder="1" applyAlignment="1">
      <alignment horizontal="center" vertical="center"/>
    </xf>
    <xf numFmtId="0" fontId="0" fillId="38" borderId="24" xfId="0" applyFont="1" applyFill="1" applyBorder="1" applyAlignment="1">
      <alignment horizontal="center" vertical="center"/>
    </xf>
    <xf numFmtId="0" fontId="0" fillId="34" borderId="0" xfId="0" applyFont="1" applyFill="1" applyAlignment="1">
      <alignment horizontal="center" vertical="center"/>
    </xf>
    <xf numFmtId="0" fontId="0" fillId="0" borderId="0" xfId="0" applyFont="1" applyFill="1" applyAlignment="1">
      <alignment horizontal="center" vertical="center"/>
    </xf>
    <xf numFmtId="0" fontId="46" fillId="35" borderId="24"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hyperlink" Target="http://www.benmeadows.com/chemets-ammonia-water-test-kit_s_16806-1/" TargetMode="External" /></Relationships>
</file>

<file path=xl/worksheets/sheet1.xml><?xml version="1.0" encoding="utf-8"?>
<worksheet xmlns="http://schemas.openxmlformats.org/spreadsheetml/2006/main" xmlns:r="http://schemas.openxmlformats.org/officeDocument/2006/relationships">
  <dimension ref="A1:N18"/>
  <sheetViews>
    <sheetView tabSelected="1" workbookViewId="0" topLeftCell="A1">
      <selection activeCell="B20" sqref="B20"/>
    </sheetView>
  </sheetViews>
  <sheetFormatPr defaultColWidth="11.421875" defaultRowHeight="15"/>
  <cols>
    <col min="1" max="1" width="16.7109375" style="0" bestFit="1" customWidth="1"/>
    <col min="2" max="2" width="13.8515625" style="0" bestFit="1" customWidth="1"/>
    <col min="3" max="3" width="13.28125" style="0" bestFit="1" customWidth="1"/>
    <col min="9" max="9" width="27.140625" style="0" customWidth="1"/>
    <col min="10" max="10" width="13.8515625" style="0" bestFit="1" customWidth="1"/>
  </cols>
  <sheetData>
    <row r="1" spans="1:9" s="442" customFormat="1" ht="28.5" customHeight="1">
      <c r="A1" s="442" t="s">
        <v>594</v>
      </c>
      <c r="I1" s="442" t="s">
        <v>596</v>
      </c>
    </row>
    <row r="2" spans="1:14" ht="28.5" customHeight="1">
      <c r="A2" s="456" t="s">
        <v>586</v>
      </c>
      <c r="B2" s="457"/>
      <c r="C2" s="455" t="s">
        <v>479</v>
      </c>
      <c r="D2" s="455"/>
      <c r="E2" s="455" t="s">
        <v>259</v>
      </c>
      <c r="F2" s="455"/>
      <c r="I2" s="456" t="s">
        <v>586</v>
      </c>
      <c r="J2" s="457"/>
      <c r="K2" s="455" t="s">
        <v>479</v>
      </c>
      <c r="L2" s="455"/>
      <c r="M2" s="455" t="s">
        <v>259</v>
      </c>
      <c r="N2" s="455"/>
    </row>
    <row r="3" spans="1:14" ht="28.5" customHeight="1">
      <c r="A3" s="458"/>
      <c r="B3" s="459"/>
      <c r="C3" s="429" t="s">
        <v>304</v>
      </c>
      <c r="D3" s="429" t="s">
        <v>305</v>
      </c>
      <c r="E3" s="429" t="s">
        <v>304</v>
      </c>
      <c r="F3" s="429" t="s">
        <v>305</v>
      </c>
      <c r="I3" s="458"/>
      <c r="J3" s="459"/>
      <c r="K3" s="429" t="s">
        <v>304</v>
      </c>
      <c r="L3" s="429" t="s">
        <v>305</v>
      </c>
      <c r="M3" s="429" t="s">
        <v>304</v>
      </c>
      <c r="N3" s="429" t="s">
        <v>305</v>
      </c>
    </row>
    <row r="4" spans="1:14" ht="28.5" customHeight="1">
      <c r="A4" s="452" t="s">
        <v>587</v>
      </c>
      <c r="B4" s="452"/>
      <c r="C4" s="430">
        <f>'Public Education'!B11</f>
        <v>11200</v>
      </c>
      <c r="D4" s="431">
        <f>'Public Education'!C11</f>
        <v>73800</v>
      </c>
      <c r="E4" s="440">
        <f>'Public Education'!D11</f>
        <v>112</v>
      </c>
      <c r="F4" s="440">
        <f>'Public Education'!E11</f>
        <v>730</v>
      </c>
      <c r="I4" s="452" t="s">
        <v>587</v>
      </c>
      <c r="J4" s="452"/>
      <c r="K4" s="430">
        <f>ROUND((C4/5),3-(INT(LOG((C4/5))+1)))</f>
        <v>2240</v>
      </c>
      <c r="L4" s="430">
        <f aca="true" t="shared" si="0" ref="L4:N15">ROUND((D4/5),3-(INT(LOG((D4/5))+1)))</f>
        <v>14800</v>
      </c>
      <c r="M4" s="444">
        <f t="shared" si="0"/>
        <v>22.4</v>
      </c>
      <c r="N4" s="444">
        <f t="shared" si="0"/>
        <v>146</v>
      </c>
    </row>
    <row r="5" spans="1:14" ht="28.5" customHeight="1">
      <c r="A5" s="452" t="s">
        <v>588</v>
      </c>
      <c r="B5" s="452"/>
      <c r="C5" s="432">
        <f>'Public Participation'!B9</f>
        <v>9000</v>
      </c>
      <c r="D5" s="431">
        <f>'Public Participation'!C9</f>
        <v>17000</v>
      </c>
      <c r="E5" s="440">
        <f>'Public Participation'!D9</f>
        <v>80</v>
      </c>
      <c r="F5" s="440">
        <f>'Public Participation'!E9</f>
        <v>150</v>
      </c>
      <c r="I5" s="452" t="s">
        <v>588</v>
      </c>
      <c r="J5" s="452"/>
      <c r="K5" s="430">
        <f aca="true" t="shared" si="1" ref="K5:K15">ROUND((C5/5),3-(INT(LOG((C5/5))+1)))</f>
        <v>1800</v>
      </c>
      <c r="L5" s="430">
        <f t="shared" si="0"/>
        <v>3400</v>
      </c>
      <c r="M5" s="444">
        <f t="shared" si="0"/>
        <v>16</v>
      </c>
      <c r="N5" s="444">
        <f t="shared" si="0"/>
        <v>30</v>
      </c>
    </row>
    <row r="6" spans="1:14" ht="28.5" customHeight="1">
      <c r="A6" s="452" t="s">
        <v>287</v>
      </c>
      <c r="B6" s="433" t="s">
        <v>589</v>
      </c>
      <c r="C6" s="432">
        <f>'Good Housekeeping'!B20</f>
        <v>278000</v>
      </c>
      <c r="D6" s="431">
        <f>'Good Housekeeping'!C20</f>
        <v>557000</v>
      </c>
      <c r="E6" s="441">
        <f>'Good Housekeeping'!D20</f>
        <v>602</v>
      </c>
      <c r="F6" s="441">
        <f>'Good Housekeeping'!E20</f>
        <v>1190</v>
      </c>
      <c r="I6" s="452" t="s">
        <v>287</v>
      </c>
      <c r="J6" s="433" t="s">
        <v>589</v>
      </c>
      <c r="K6" s="430">
        <f t="shared" si="1"/>
        <v>55600</v>
      </c>
      <c r="L6" s="430">
        <f t="shared" si="0"/>
        <v>111000</v>
      </c>
      <c r="M6" s="444">
        <f t="shared" si="0"/>
        <v>120</v>
      </c>
      <c r="N6" s="444">
        <f t="shared" si="0"/>
        <v>238</v>
      </c>
    </row>
    <row r="7" spans="1:14" ht="28.5" customHeight="1">
      <c r="A7" s="452"/>
      <c r="B7" s="433" t="s">
        <v>590</v>
      </c>
      <c r="C7" s="434">
        <f>'Good Housekeeping'!B29</f>
        <v>390000</v>
      </c>
      <c r="D7" s="435">
        <f>'Good Housekeeping'!C29</f>
        <v>852000</v>
      </c>
      <c r="E7" s="441">
        <f>'Good Housekeeping'!D29</f>
        <v>602</v>
      </c>
      <c r="F7" s="441">
        <f>'Good Housekeeping'!E20</f>
        <v>1190</v>
      </c>
      <c r="I7" s="452"/>
      <c r="J7" s="433" t="s">
        <v>590</v>
      </c>
      <c r="K7" s="430">
        <f t="shared" si="1"/>
        <v>78000</v>
      </c>
      <c r="L7" s="430">
        <f t="shared" si="0"/>
        <v>170000</v>
      </c>
      <c r="M7" s="444">
        <f t="shared" si="0"/>
        <v>120</v>
      </c>
      <c r="N7" s="444">
        <f t="shared" si="0"/>
        <v>238</v>
      </c>
    </row>
    <row r="8" spans="1:14" ht="28.5" customHeight="1">
      <c r="A8" s="452" t="s">
        <v>591</v>
      </c>
      <c r="B8" s="452"/>
      <c r="C8" s="436">
        <f>NOI!B9</f>
        <v>5000</v>
      </c>
      <c r="D8" s="436">
        <f>NOI!C9</f>
        <v>11200</v>
      </c>
      <c r="E8" s="441">
        <f>NOI!D9</f>
        <v>50</v>
      </c>
      <c r="F8" s="441">
        <f>NOI!E9</f>
        <v>112</v>
      </c>
      <c r="I8" s="452" t="s">
        <v>591</v>
      </c>
      <c r="J8" s="452"/>
      <c r="K8" s="430">
        <f t="shared" si="1"/>
        <v>1000</v>
      </c>
      <c r="L8" s="430">
        <f t="shared" si="0"/>
        <v>2240</v>
      </c>
      <c r="M8" s="444">
        <f t="shared" si="0"/>
        <v>10</v>
      </c>
      <c r="N8" s="444">
        <f t="shared" si="0"/>
        <v>22.4</v>
      </c>
    </row>
    <row r="9" spans="1:14" ht="28.5" customHeight="1">
      <c r="A9" s="452" t="s">
        <v>592</v>
      </c>
      <c r="B9" s="452"/>
      <c r="C9" s="436">
        <f>SWMP!B10</f>
        <v>12800</v>
      </c>
      <c r="D9" s="436">
        <f>SWMP!C10</f>
        <v>20400</v>
      </c>
      <c r="E9" s="441">
        <f>SWMP!D10</f>
        <v>128</v>
      </c>
      <c r="F9" s="441">
        <f>SWMP!E10</f>
        <v>204</v>
      </c>
      <c r="I9" s="452" t="s">
        <v>592</v>
      </c>
      <c r="J9" s="452"/>
      <c r="K9" s="430">
        <f t="shared" si="1"/>
        <v>2560</v>
      </c>
      <c r="L9" s="430">
        <f t="shared" si="0"/>
        <v>4080</v>
      </c>
      <c r="M9" s="444">
        <f t="shared" si="0"/>
        <v>25.6</v>
      </c>
      <c r="N9" s="444">
        <f t="shared" si="0"/>
        <v>40.8</v>
      </c>
    </row>
    <row r="10" spans="1:14" ht="28.5" customHeight="1">
      <c r="A10" s="452" t="s">
        <v>277</v>
      </c>
      <c r="B10" s="452"/>
      <c r="C10" s="436">
        <f>IDDE!B22</f>
        <v>86900</v>
      </c>
      <c r="D10" s="436">
        <f>IDDE!C22</f>
        <v>267000</v>
      </c>
      <c r="E10" s="441">
        <f>IDDE!D22</f>
        <v>806</v>
      </c>
      <c r="F10" s="441">
        <f>IDDE!E22</f>
        <v>2510</v>
      </c>
      <c r="I10" s="452" t="s">
        <v>277</v>
      </c>
      <c r="J10" s="452"/>
      <c r="K10" s="430">
        <f t="shared" si="1"/>
        <v>17400</v>
      </c>
      <c r="L10" s="430">
        <f t="shared" si="0"/>
        <v>53400</v>
      </c>
      <c r="M10" s="444">
        <f t="shared" si="0"/>
        <v>161</v>
      </c>
      <c r="N10" s="444">
        <f t="shared" si="0"/>
        <v>502</v>
      </c>
    </row>
    <row r="11" spans="1:14" ht="28.5" customHeight="1">
      <c r="A11" s="452" t="s">
        <v>281</v>
      </c>
      <c r="B11" s="452"/>
      <c r="C11" s="436">
        <f>'Construction Site Control'!B11</f>
        <v>4200</v>
      </c>
      <c r="D11" s="436">
        <f>'Construction Site Control'!C11</f>
        <v>21600</v>
      </c>
      <c r="E11" s="441">
        <f>'Construction Site Control'!D11</f>
        <v>32</v>
      </c>
      <c r="F11" s="441">
        <f>'Construction Site Control'!E11</f>
        <v>96</v>
      </c>
      <c r="I11" s="452" t="s">
        <v>281</v>
      </c>
      <c r="J11" s="452"/>
      <c r="K11" s="430">
        <f t="shared" si="1"/>
        <v>840</v>
      </c>
      <c r="L11" s="430">
        <f t="shared" si="0"/>
        <v>4320</v>
      </c>
      <c r="M11" s="444">
        <f t="shared" si="0"/>
        <v>6.4</v>
      </c>
      <c r="N11" s="444">
        <f t="shared" si="0"/>
        <v>19.2</v>
      </c>
    </row>
    <row r="12" spans="1:14" ht="28.5" customHeight="1">
      <c r="A12" s="452" t="s">
        <v>282</v>
      </c>
      <c r="B12" s="452"/>
      <c r="C12" s="436">
        <f>'Post Construction Site Control'!B10</f>
        <v>21200</v>
      </c>
      <c r="D12" s="436">
        <f>'Post Construction Site Control'!C10</f>
        <v>38400</v>
      </c>
      <c r="E12" s="441">
        <f>'Post Construction Site Control'!D10</f>
        <v>182</v>
      </c>
      <c r="F12" s="441">
        <f>'Post Construction Site Control'!E10</f>
        <v>324</v>
      </c>
      <c r="I12" s="452" t="s">
        <v>282</v>
      </c>
      <c r="J12" s="452"/>
      <c r="K12" s="430">
        <f t="shared" si="1"/>
        <v>4240</v>
      </c>
      <c r="L12" s="430">
        <f t="shared" si="0"/>
        <v>7680</v>
      </c>
      <c r="M12" s="444">
        <f t="shared" si="0"/>
        <v>36.4</v>
      </c>
      <c r="N12" s="444">
        <f t="shared" si="0"/>
        <v>64.8</v>
      </c>
    </row>
    <row r="13" spans="1:14" ht="28.5" customHeight="1">
      <c r="A13" s="452" t="s">
        <v>593</v>
      </c>
      <c r="B13" s="452"/>
      <c r="C13" s="436">
        <f>'Annual Report'!B9</f>
        <v>25300</v>
      </c>
      <c r="D13" s="436">
        <f>'Annual Report'!C9</f>
        <v>51600</v>
      </c>
      <c r="E13" s="441">
        <f>'Annual Report'!D9</f>
        <v>213</v>
      </c>
      <c r="F13" s="441">
        <f>'Annual Report'!E9</f>
        <v>436</v>
      </c>
      <c r="I13" s="452" t="s">
        <v>593</v>
      </c>
      <c r="J13" s="452"/>
      <c r="K13" s="430">
        <f t="shared" si="1"/>
        <v>5060</v>
      </c>
      <c r="L13" s="430">
        <f t="shared" si="0"/>
        <v>10300</v>
      </c>
      <c r="M13" s="444">
        <f t="shared" si="0"/>
        <v>42.6</v>
      </c>
      <c r="N13" s="444">
        <f t="shared" si="0"/>
        <v>87.2</v>
      </c>
    </row>
    <row r="14" spans="1:14" ht="28.5" customHeight="1">
      <c r="A14" s="453" t="s">
        <v>478</v>
      </c>
      <c r="B14" s="437" t="s">
        <v>589</v>
      </c>
      <c r="C14" s="438">
        <f>ROUND((SUM(C4:C13)-C7),3-(INT(LOG((SUM(C4:C13)-C7))+1)))</f>
        <v>454000</v>
      </c>
      <c r="D14" s="438">
        <f>ROUND((SUM(D4:D13)-D7),3-(INT(LOG((SUM(D4:D13)-D7))+1)))</f>
        <v>1060000</v>
      </c>
      <c r="E14" s="439">
        <f>ROUND((SUM(E4:E13)-E7),3-(INT(LOG((SUM(E4:E13)-E7))+1)))</f>
        <v>2210</v>
      </c>
      <c r="F14" s="439">
        <f>ROUND((SUM(F4:F13)-F7),3-(INT(LOG((SUM(F4:F13)-F7))+1)))</f>
        <v>5750</v>
      </c>
      <c r="I14" s="453" t="s">
        <v>478</v>
      </c>
      <c r="J14" s="437" t="s">
        <v>589</v>
      </c>
      <c r="K14" s="446">
        <f t="shared" si="1"/>
        <v>90800</v>
      </c>
      <c r="L14" s="446">
        <f t="shared" si="0"/>
        <v>212000</v>
      </c>
      <c r="M14" s="447">
        <f t="shared" si="0"/>
        <v>442</v>
      </c>
      <c r="N14" s="447">
        <f t="shared" si="0"/>
        <v>1150</v>
      </c>
    </row>
    <row r="15" spans="1:14" ht="28.5" customHeight="1">
      <c r="A15" s="454"/>
      <c r="B15" s="437" t="s">
        <v>590</v>
      </c>
      <c r="C15" s="438">
        <f>ROUND((SUM(C4:C13)-C6),3-(INT(LOG((SUM(C4:C13)-C6))+1)))</f>
        <v>566000</v>
      </c>
      <c r="D15" s="438">
        <f>ROUND((SUM(D4:D13)-D6),3-(INT(LOG((SUM(D4:D13)-D6))+1)))</f>
        <v>1350000</v>
      </c>
      <c r="E15" s="439">
        <f>ROUND((SUM(E4:E13)-E6),3-(INT(LOG((SUM(E4:E13)-E6))+1)))</f>
        <v>2210</v>
      </c>
      <c r="F15" s="439">
        <f>ROUND((SUM(F4:F13)-F6),3-(INT(LOG((SUM(F4:F13)-F6))+1)))</f>
        <v>5750</v>
      </c>
      <c r="I15" s="454"/>
      <c r="J15" s="437" t="s">
        <v>590</v>
      </c>
      <c r="K15" s="446">
        <f t="shared" si="1"/>
        <v>113000</v>
      </c>
      <c r="L15" s="446">
        <f t="shared" si="0"/>
        <v>270000</v>
      </c>
      <c r="M15" s="447">
        <f t="shared" si="0"/>
        <v>442</v>
      </c>
      <c r="N15" s="447">
        <f t="shared" si="0"/>
        <v>1150</v>
      </c>
    </row>
    <row r="18" ht="13.5">
      <c r="C18" s="6"/>
    </row>
  </sheetData>
  <sheetProtection/>
  <mergeCells count="26">
    <mergeCell ref="A4:B4"/>
    <mergeCell ref="A5:B5"/>
    <mergeCell ref="I9:J9"/>
    <mergeCell ref="I10:J10"/>
    <mergeCell ref="I6:I7"/>
    <mergeCell ref="I8:J8"/>
    <mergeCell ref="A6:A7"/>
    <mergeCell ref="A8:B8"/>
    <mergeCell ref="A9:B9"/>
    <mergeCell ref="A10:B10"/>
    <mergeCell ref="E2:F2"/>
    <mergeCell ref="I2:J3"/>
    <mergeCell ref="K2:L2"/>
    <mergeCell ref="M2:N2"/>
    <mergeCell ref="I4:J4"/>
    <mergeCell ref="I5:J5"/>
    <mergeCell ref="A2:B3"/>
    <mergeCell ref="C2:D2"/>
    <mergeCell ref="I11:J11"/>
    <mergeCell ref="I12:J12"/>
    <mergeCell ref="I13:J13"/>
    <mergeCell ref="I14:I15"/>
    <mergeCell ref="A13:B13"/>
    <mergeCell ref="A14:A15"/>
    <mergeCell ref="A11:B11"/>
    <mergeCell ref="A12:B12"/>
  </mergeCells>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sheetPr>
    <pageSetUpPr fitToPage="1"/>
  </sheetPr>
  <dimension ref="A1:AC88"/>
  <sheetViews>
    <sheetView zoomScale="75" zoomScaleNormal="75" workbookViewId="0" topLeftCell="A1">
      <selection activeCell="A10" sqref="A10"/>
    </sheetView>
  </sheetViews>
  <sheetFormatPr defaultColWidth="8.8515625" defaultRowHeight="15"/>
  <cols>
    <col min="1" max="1" width="10.421875" style="1" bestFit="1" customWidth="1"/>
    <col min="2" max="2" width="10.28125" style="0" customWidth="1"/>
    <col min="3" max="3" width="10.421875" style="1" customWidth="1"/>
    <col min="4" max="4" width="12.28125" style="0" customWidth="1"/>
    <col min="5" max="5" width="7.140625" style="0" customWidth="1"/>
    <col min="6" max="6" width="107.28125" style="0" customWidth="1"/>
    <col min="7" max="7" width="15.7109375" style="0" customWidth="1"/>
    <col min="8" max="10" width="10.7109375" style="22" customWidth="1"/>
    <col min="11" max="11" width="10.7109375" style="23" customWidth="1"/>
    <col min="12" max="15" width="10.7109375" style="22" customWidth="1"/>
    <col min="16" max="17" width="10.7109375" style="25" customWidth="1"/>
    <col min="18" max="18" width="10.7109375" style="6" customWidth="1"/>
    <col min="19" max="19" width="10.7109375" style="25" customWidth="1"/>
    <col min="20" max="20" width="10.7109375" style="6" customWidth="1"/>
    <col min="21" max="21" width="57.421875" style="7" customWidth="1"/>
    <col min="22" max="22" width="36.8515625" style="0" customWidth="1"/>
  </cols>
  <sheetData>
    <row r="1" spans="1:29" s="27" customFormat="1" ht="30" customHeight="1">
      <c r="A1" s="486" t="s">
        <v>477</v>
      </c>
      <c r="B1" s="487"/>
      <c r="C1" s="488"/>
      <c r="D1" s="47"/>
      <c r="E1" s="47"/>
      <c r="H1" s="25"/>
      <c r="I1" s="47"/>
      <c r="J1" s="47"/>
      <c r="K1" s="25"/>
      <c r="L1" s="25"/>
      <c r="M1" s="47"/>
      <c r="N1" s="47"/>
      <c r="O1" s="47"/>
      <c r="P1" s="25"/>
      <c r="Q1" s="25"/>
      <c r="R1" s="47"/>
      <c r="S1" s="25"/>
      <c r="T1" s="47"/>
      <c r="U1" s="47"/>
      <c r="V1" s="66"/>
      <c r="W1" s="25"/>
      <c r="X1" s="25"/>
      <c r="Y1" s="25"/>
      <c r="Z1" s="25"/>
      <c r="AA1"/>
      <c r="AB1"/>
      <c r="AC1" s="68"/>
    </row>
    <row r="2" spans="1:29" s="27" customFormat="1" ht="30" customHeight="1">
      <c r="A2" s="493" t="s">
        <v>346</v>
      </c>
      <c r="B2" s="494"/>
      <c r="C2" s="315">
        <f>'MS4 Stats'!B10</f>
        <v>100</v>
      </c>
      <c r="D2" s="47"/>
      <c r="E2" s="47"/>
      <c r="H2" s="25"/>
      <c r="I2" s="47"/>
      <c r="J2" s="47"/>
      <c r="K2" s="25"/>
      <c r="L2" s="25"/>
      <c r="M2" s="47"/>
      <c r="N2" s="47"/>
      <c r="O2" s="47"/>
      <c r="P2" s="25"/>
      <c r="Q2" s="25"/>
      <c r="R2" s="47"/>
      <c r="S2" s="25"/>
      <c r="T2" s="47"/>
      <c r="U2" s="47"/>
      <c r="V2" s="66"/>
      <c r="W2" s="25"/>
      <c r="X2" s="25"/>
      <c r="Y2" s="25"/>
      <c r="Z2" s="25"/>
      <c r="AA2"/>
      <c r="AB2"/>
      <c r="AC2" s="68"/>
    </row>
    <row r="3" spans="1:29" s="27" customFormat="1" ht="45" customHeight="1">
      <c r="A3"/>
      <c r="B3"/>
      <c r="C3"/>
      <c r="D3" s="3"/>
      <c r="E3"/>
      <c r="H3" s="25"/>
      <c r="I3" s="47"/>
      <c r="J3" s="47"/>
      <c r="K3" s="25"/>
      <c r="L3" s="25"/>
      <c r="M3" s="47"/>
      <c r="N3" s="47"/>
      <c r="O3" s="47"/>
      <c r="P3" s="25"/>
      <c r="Q3" s="25"/>
      <c r="R3" s="47"/>
      <c r="S3" s="25"/>
      <c r="T3" s="47"/>
      <c r="U3" s="47"/>
      <c r="V3" s="66"/>
      <c r="W3" s="25"/>
      <c r="X3" s="25"/>
      <c r="Y3" s="25"/>
      <c r="Z3" s="25"/>
      <c r="AA3"/>
      <c r="AB3"/>
      <c r="AC3" s="68"/>
    </row>
    <row r="4" spans="1:29" s="27" customFormat="1" ht="30" customHeight="1">
      <c r="A4" s="316"/>
      <c r="B4" s="487" t="s">
        <v>479</v>
      </c>
      <c r="C4" s="487"/>
      <c r="D4" s="487" t="s">
        <v>259</v>
      </c>
      <c r="E4" s="488"/>
      <c r="H4" s="25"/>
      <c r="I4"/>
      <c r="J4"/>
      <c r="K4" s="25"/>
      <c r="L4" s="25"/>
      <c r="M4"/>
      <c r="N4"/>
      <c r="O4"/>
      <c r="P4" s="25"/>
      <c r="Q4" s="25"/>
      <c r="R4"/>
      <c r="S4" s="25"/>
      <c r="T4"/>
      <c r="U4"/>
      <c r="V4" s="66"/>
      <c r="W4" s="25"/>
      <c r="X4" s="25"/>
      <c r="Y4" s="25"/>
      <c r="Z4" s="25"/>
      <c r="AA4"/>
      <c r="AB4"/>
      <c r="AC4" s="68"/>
    </row>
    <row r="5" spans="1:29" s="27" customFormat="1" ht="30" customHeight="1">
      <c r="A5" s="317"/>
      <c r="B5" s="103" t="s">
        <v>304</v>
      </c>
      <c r="C5" s="103" t="s">
        <v>305</v>
      </c>
      <c r="D5" s="103" t="s">
        <v>304</v>
      </c>
      <c r="E5" s="104" t="s">
        <v>305</v>
      </c>
      <c r="H5" s="25"/>
      <c r="I5"/>
      <c r="J5"/>
      <c r="K5" s="25"/>
      <c r="L5" s="25"/>
      <c r="M5"/>
      <c r="N5"/>
      <c r="O5"/>
      <c r="P5" s="25"/>
      <c r="Q5" s="25"/>
      <c r="R5"/>
      <c r="S5" s="25"/>
      <c r="T5"/>
      <c r="U5"/>
      <c r="V5" s="66"/>
      <c r="W5" s="25"/>
      <c r="X5" s="25"/>
      <c r="Y5" s="25"/>
      <c r="Z5" s="25"/>
      <c r="AA5"/>
      <c r="AB5"/>
      <c r="AC5" s="68"/>
    </row>
    <row r="6" spans="1:29" s="27" customFormat="1" ht="30" customHeight="1">
      <c r="A6" s="318" t="s">
        <v>63</v>
      </c>
      <c r="B6" s="319">
        <f>ROUND((Q44/5),3-(INT(LOG((Q44/5))+1)))</f>
        <v>5060</v>
      </c>
      <c r="C6" s="319">
        <f>ROUND((R44/5),3-(INT(LOG((R44/5))+1)))</f>
        <v>10300</v>
      </c>
      <c r="D6" s="232">
        <f>ROUND((S44/5),3-(INT(LOG((S44/5))+1)))</f>
        <v>42.6</v>
      </c>
      <c r="E6" s="232">
        <f>ROUND((T44/5),3-(INT(LOG((T44/5))+1)))</f>
        <v>87.2</v>
      </c>
      <c r="H6" s="25"/>
      <c r="I6"/>
      <c r="J6"/>
      <c r="K6" s="25"/>
      <c r="L6" s="25"/>
      <c r="M6"/>
      <c r="N6"/>
      <c r="O6"/>
      <c r="P6" s="25"/>
      <c r="Q6" s="25"/>
      <c r="R6"/>
      <c r="S6" s="25"/>
      <c r="T6"/>
      <c r="U6"/>
      <c r="V6" s="66"/>
      <c r="W6" s="25"/>
      <c r="X6" s="25"/>
      <c r="Y6" s="25"/>
      <c r="Z6" s="25"/>
      <c r="AA6"/>
      <c r="AB6"/>
      <c r="AC6" s="68"/>
    </row>
    <row r="7" spans="1:29" s="27" customFormat="1" ht="30" customHeight="1">
      <c r="A7" s="322" t="s">
        <v>480</v>
      </c>
      <c r="B7" s="323">
        <v>0</v>
      </c>
      <c r="C7" s="323">
        <v>0</v>
      </c>
      <c r="D7" s="323">
        <v>0</v>
      </c>
      <c r="E7" s="323">
        <v>0</v>
      </c>
      <c r="H7" s="25"/>
      <c r="I7"/>
      <c r="J7"/>
      <c r="K7" s="25"/>
      <c r="L7" s="25"/>
      <c r="M7"/>
      <c r="N7"/>
      <c r="O7"/>
      <c r="P7" s="25"/>
      <c r="Q7" s="25"/>
      <c r="R7"/>
      <c r="S7" s="25"/>
      <c r="T7"/>
      <c r="U7"/>
      <c r="V7" s="66"/>
      <c r="W7" s="25"/>
      <c r="X7" s="25"/>
      <c r="Y7" s="25"/>
      <c r="Z7" s="25"/>
      <c r="AA7"/>
      <c r="AB7"/>
      <c r="AC7" s="68"/>
    </row>
    <row r="8" spans="1:29" s="27" customFormat="1" ht="30" customHeight="1">
      <c r="A8" s="94" t="s">
        <v>62</v>
      </c>
      <c r="B8" s="95">
        <v>0</v>
      </c>
      <c r="C8" s="95">
        <v>0</v>
      </c>
      <c r="D8" s="96">
        <v>0</v>
      </c>
      <c r="E8" s="97">
        <v>0</v>
      </c>
      <c r="H8" s="25"/>
      <c r="I8"/>
      <c r="J8"/>
      <c r="K8" s="25"/>
      <c r="L8" s="25"/>
      <c r="M8"/>
      <c r="N8"/>
      <c r="O8"/>
      <c r="P8" s="25"/>
      <c r="Q8" s="25"/>
      <c r="R8"/>
      <c r="S8" s="25"/>
      <c r="T8"/>
      <c r="U8"/>
      <c r="V8" s="66"/>
      <c r="W8" s="25"/>
      <c r="X8" s="25"/>
      <c r="Y8" s="25"/>
      <c r="Z8" s="25"/>
      <c r="AA8"/>
      <c r="AB8"/>
      <c r="AC8" s="68"/>
    </row>
    <row r="9" spans="1:29" s="27" customFormat="1" ht="30" customHeight="1">
      <c r="A9" s="324" t="s">
        <v>478</v>
      </c>
      <c r="B9" s="325">
        <f>Q44</f>
        <v>25300</v>
      </c>
      <c r="C9" s="325">
        <f>R44</f>
        <v>51600</v>
      </c>
      <c r="D9" s="326">
        <f>S44</f>
        <v>213</v>
      </c>
      <c r="E9" s="327">
        <f>T44</f>
        <v>436</v>
      </c>
      <c r="F9" s="22"/>
      <c r="H9" s="25"/>
      <c r="I9"/>
      <c r="J9"/>
      <c r="K9" s="25"/>
      <c r="L9" s="25"/>
      <c r="M9"/>
      <c r="N9"/>
      <c r="O9"/>
      <c r="P9" s="25"/>
      <c r="Q9" s="25"/>
      <c r="R9"/>
      <c r="S9" s="25"/>
      <c r="T9"/>
      <c r="U9"/>
      <c r="V9" s="66"/>
      <c r="W9" s="25"/>
      <c r="X9" s="25"/>
      <c r="Y9" s="25"/>
      <c r="Z9" s="25"/>
      <c r="AA9"/>
      <c r="AB9"/>
      <c r="AC9" s="68"/>
    </row>
    <row r="10" spans="1:29" s="27" customFormat="1" ht="30" customHeight="1">
      <c r="A10" s="1"/>
      <c r="B10"/>
      <c r="C10" s="1"/>
      <c r="D10"/>
      <c r="E10"/>
      <c r="F10" s="22"/>
      <c r="H10" s="25"/>
      <c r="I10"/>
      <c r="J10"/>
      <c r="K10" s="25"/>
      <c r="L10" s="25"/>
      <c r="M10"/>
      <c r="N10"/>
      <c r="O10"/>
      <c r="P10" s="25"/>
      <c r="Q10" s="25"/>
      <c r="R10"/>
      <c r="S10" s="25"/>
      <c r="T10"/>
      <c r="U10"/>
      <c r="V10" s="66"/>
      <c r="W10" s="25"/>
      <c r="X10" s="25"/>
      <c r="Y10" s="25"/>
      <c r="Z10" s="25"/>
      <c r="AA10"/>
      <c r="AB10"/>
      <c r="AC10" s="68"/>
    </row>
    <row r="11" ht="13.5">
      <c r="G11" s="43"/>
    </row>
    <row r="12" ht="13.5">
      <c r="G12" s="43"/>
    </row>
    <row r="13" spans="1:22" ht="34.5" customHeight="1">
      <c r="A13" s="554" t="s">
        <v>0</v>
      </c>
      <c r="B13" s="718" t="s">
        <v>29</v>
      </c>
      <c r="C13" s="586" t="s">
        <v>32</v>
      </c>
      <c r="D13" s="586" t="s">
        <v>110</v>
      </c>
      <c r="E13" s="587" t="s">
        <v>506</v>
      </c>
      <c r="F13" s="588"/>
      <c r="G13" s="584" t="s">
        <v>1</v>
      </c>
      <c r="H13" s="603" t="s">
        <v>497</v>
      </c>
      <c r="I13" s="603"/>
      <c r="J13" s="603"/>
      <c r="K13" s="603"/>
      <c r="L13" s="578" t="s">
        <v>498</v>
      </c>
      <c r="M13" s="579"/>
      <c r="N13" s="579"/>
      <c r="O13" s="579"/>
      <c r="P13" s="707" t="s">
        <v>264</v>
      </c>
      <c r="Q13" s="578" t="s">
        <v>507</v>
      </c>
      <c r="R13" s="579"/>
      <c r="S13" s="579"/>
      <c r="T13" s="580"/>
      <c r="U13" s="714" t="s">
        <v>58</v>
      </c>
      <c r="V13" s="714" t="s">
        <v>261</v>
      </c>
    </row>
    <row r="14" spans="1:22" ht="72" customHeight="1">
      <c r="A14" s="554"/>
      <c r="B14" s="718"/>
      <c r="C14" s="544"/>
      <c r="D14" s="544"/>
      <c r="E14" s="589"/>
      <c r="F14" s="590"/>
      <c r="G14" s="523"/>
      <c r="H14" s="603" t="s">
        <v>259</v>
      </c>
      <c r="I14" s="603"/>
      <c r="J14" s="531" t="s">
        <v>508</v>
      </c>
      <c r="K14" s="531"/>
      <c r="L14" s="602" t="s">
        <v>321</v>
      </c>
      <c r="M14" s="602"/>
      <c r="N14" s="602" t="s">
        <v>450</v>
      </c>
      <c r="O14" s="602"/>
      <c r="P14" s="641"/>
      <c r="Q14" s="696" t="s">
        <v>326</v>
      </c>
      <c r="R14" s="697"/>
      <c r="S14" s="698" t="s">
        <v>472</v>
      </c>
      <c r="T14" s="699"/>
      <c r="U14" s="715"/>
      <c r="V14" s="715"/>
    </row>
    <row r="15" spans="1:22" ht="22.5" customHeight="1">
      <c r="A15" s="717"/>
      <c r="B15" s="719"/>
      <c r="C15" s="545"/>
      <c r="D15" s="545"/>
      <c r="E15" s="591"/>
      <c r="F15" s="592"/>
      <c r="G15" s="524"/>
      <c r="H15" s="300" t="s">
        <v>354</v>
      </c>
      <c r="I15" s="300" t="s">
        <v>305</v>
      </c>
      <c r="J15" s="300" t="s">
        <v>304</v>
      </c>
      <c r="K15" s="301" t="s">
        <v>305</v>
      </c>
      <c r="L15" s="302" t="s">
        <v>304</v>
      </c>
      <c r="M15" s="302" t="s">
        <v>305</v>
      </c>
      <c r="N15" s="302" t="s">
        <v>304</v>
      </c>
      <c r="O15" s="302" t="s">
        <v>305</v>
      </c>
      <c r="P15" s="642"/>
      <c r="Q15" s="299" t="s">
        <v>304</v>
      </c>
      <c r="R15" s="301" t="s">
        <v>305</v>
      </c>
      <c r="S15" s="299" t="s">
        <v>304</v>
      </c>
      <c r="T15" s="301" t="s">
        <v>305</v>
      </c>
      <c r="U15" s="716"/>
      <c r="V15" s="716"/>
    </row>
    <row r="16" spans="1:21" ht="27.75">
      <c r="A16" s="354">
        <v>4</v>
      </c>
      <c r="B16" s="354"/>
      <c r="C16" s="354"/>
      <c r="D16" s="354"/>
      <c r="E16" s="355" t="s">
        <v>223</v>
      </c>
      <c r="F16" s="355"/>
      <c r="G16" s="348">
        <v>4.4</v>
      </c>
      <c r="H16" s="356"/>
      <c r="I16" s="356"/>
      <c r="J16" s="356"/>
      <c r="K16" s="356"/>
      <c r="L16" s="356"/>
      <c r="M16" s="356"/>
      <c r="N16" s="356"/>
      <c r="O16" s="356"/>
      <c r="P16" s="356"/>
      <c r="Q16" s="356"/>
      <c r="R16" s="356"/>
      <c r="S16" s="356"/>
      <c r="T16" s="356"/>
      <c r="U16" s="357" t="s">
        <v>224</v>
      </c>
    </row>
    <row r="17" spans="1:22" ht="36" customHeight="1">
      <c r="A17" s="358">
        <v>4.1</v>
      </c>
      <c r="B17" s="358"/>
      <c r="C17" s="311"/>
      <c r="D17" s="359" t="s">
        <v>221</v>
      </c>
      <c r="E17" s="712" t="s">
        <v>225</v>
      </c>
      <c r="F17" s="712"/>
      <c r="G17" s="311">
        <v>4.4</v>
      </c>
      <c r="H17" s="337"/>
      <c r="I17" s="337"/>
      <c r="J17" s="337"/>
      <c r="K17" s="311"/>
      <c r="L17" s="311"/>
      <c r="M17" s="311"/>
      <c r="N17" s="311"/>
      <c r="O17" s="311"/>
      <c r="P17" s="311">
        <v>5</v>
      </c>
      <c r="Q17" s="342">
        <f>H17*$C$2+J17+((L17*$C$2+N17)*$P17)</f>
        <v>0</v>
      </c>
      <c r="R17" s="342">
        <f>I17*$C$2+K17+((M17*$C$2+O17)*$P17)</f>
        <v>0</v>
      </c>
      <c r="S17" s="343">
        <f>H17+(L17*P17)</f>
        <v>0</v>
      </c>
      <c r="T17" s="343">
        <f>I17+(M17*P17)</f>
        <v>0</v>
      </c>
      <c r="U17" s="360"/>
      <c r="V17" s="62" t="s">
        <v>469</v>
      </c>
    </row>
    <row r="18" spans="1:22" ht="36" customHeight="1">
      <c r="A18" s="358"/>
      <c r="B18" s="358"/>
      <c r="C18" s="311"/>
      <c r="D18" s="361"/>
      <c r="E18" s="653" t="s">
        <v>451</v>
      </c>
      <c r="F18" s="655"/>
      <c r="G18" s="311">
        <v>4.4</v>
      </c>
      <c r="H18" s="337"/>
      <c r="I18" s="337"/>
      <c r="J18" s="337"/>
      <c r="K18" s="311"/>
      <c r="L18" s="394">
        <v>4</v>
      </c>
      <c r="M18" s="394">
        <v>8</v>
      </c>
      <c r="N18" s="311"/>
      <c r="O18" s="311"/>
      <c r="P18" s="311">
        <v>5</v>
      </c>
      <c r="Q18" s="342">
        <f>H18*$C$2+J18+((L18*$C$2+N18)*$P18)</f>
        <v>2000</v>
      </c>
      <c r="R18" s="342">
        <f>I18*$C$2+K18+((M18*$C$2+O18)*$P18)</f>
        <v>4000</v>
      </c>
      <c r="S18" s="343">
        <f>H18+(L18*P18)</f>
        <v>20</v>
      </c>
      <c r="T18" s="343">
        <f>I18+(M18*P18)</f>
        <v>40</v>
      </c>
      <c r="U18" s="360" t="s">
        <v>452</v>
      </c>
      <c r="V18" s="62" t="s">
        <v>469</v>
      </c>
    </row>
    <row r="19" spans="1:22" ht="36" customHeight="1">
      <c r="A19" s="362"/>
      <c r="B19" s="363"/>
      <c r="C19" s="364"/>
      <c r="D19" s="364"/>
      <c r="E19" s="713" t="s">
        <v>275</v>
      </c>
      <c r="F19" s="713"/>
      <c r="G19" s="364"/>
      <c r="H19" s="364"/>
      <c r="I19" s="364"/>
      <c r="J19" s="364"/>
      <c r="K19" s="364"/>
      <c r="L19" s="364"/>
      <c r="M19" s="364"/>
      <c r="N19" s="364"/>
      <c r="O19" s="364"/>
      <c r="P19" s="364">
        <v>5</v>
      </c>
      <c r="Q19" s="364"/>
      <c r="R19" s="364"/>
      <c r="S19" s="365"/>
      <c r="T19" s="365"/>
      <c r="U19" s="364"/>
      <c r="V19" s="62" t="s">
        <v>469</v>
      </c>
    </row>
    <row r="20" spans="1:22" ht="40.5" customHeight="1">
      <c r="A20" s="366"/>
      <c r="B20" s="367"/>
      <c r="C20" s="311" t="s">
        <v>290</v>
      </c>
      <c r="D20" s="311"/>
      <c r="E20" s="311"/>
      <c r="F20" s="359" t="s">
        <v>186</v>
      </c>
      <c r="G20" s="368"/>
      <c r="H20" s="311"/>
      <c r="I20" s="311"/>
      <c r="J20" s="311"/>
      <c r="K20" s="311"/>
      <c r="L20" s="311">
        <v>24</v>
      </c>
      <c r="M20" s="311">
        <v>30</v>
      </c>
      <c r="N20" s="311"/>
      <c r="O20" s="311"/>
      <c r="P20" s="311">
        <v>5</v>
      </c>
      <c r="Q20" s="342">
        <f>H20*$C$2+J20+((L20*$C$2+N20)*$P20)</f>
        <v>12000</v>
      </c>
      <c r="R20" s="342">
        <f>I20*$C$2+K20+((M20*$C$2+O20)*$P20)</f>
        <v>15000</v>
      </c>
      <c r="S20" s="343">
        <f>H20+(L20*P20)</f>
        <v>120</v>
      </c>
      <c r="T20" s="343">
        <f>I20+(M20*P20)</f>
        <v>150</v>
      </c>
      <c r="U20" s="374" t="s">
        <v>582</v>
      </c>
      <c r="V20" s="62" t="s">
        <v>469</v>
      </c>
    </row>
    <row r="21" spans="1:22" ht="36" customHeight="1">
      <c r="A21" s="366"/>
      <c r="B21" s="367"/>
      <c r="C21" s="311" t="s">
        <v>290</v>
      </c>
      <c r="D21" s="311"/>
      <c r="E21" s="311"/>
      <c r="F21" s="346" t="s">
        <v>276</v>
      </c>
      <c r="G21" s="311"/>
      <c r="H21" s="311"/>
      <c r="I21" s="311"/>
      <c r="J21" s="311"/>
      <c r="K21" s="311"/>
      <c r="L21" s="311">
        <v>1</v>
      </c>
      <c r="M21" s="311">
        <v>2</v>
      </c>
      <c r="N21" s="311"/>
      <c r="O21" s="311"/>
      <c r="P21" s="311">
        <v>5</v>
      </c>
      <c r="Q21" s="342">
        <f>H21*$C$2+J21+((L21*$C$2+N21)*$P21)</f>
        <v>500</v>
      </c>
      <c r="R21" s="342">
        <f>I21*$C$2+K21+((M21*$C$2+O21)*$P21)</f>
        <v>1000</v>
      </c>
      <c r="S21" s="343">
        <f>H21+(L21*P21)</f>
        <v>5</v>
      </c>
      <c r="T21" s="343">
        <f>I21+(M21*P21)</f>
        <v>10</v>
      </c>
      <c r="U21" s="360"/>
      <c r="V21" s="62" t="s">
        <v>469</v>
      </c>
    </row>
    <row r="22" spans="1:21" ht="36" customHeight="1">
      <c r="A22" s="362"/>
      <c r="B22" s="363"/>
      <c r="C22" s="364"/>
      <c r="D22" s="364"/>
      <c r="E22" s="710" t="s">
        <v>277</v>
      </c>
      <c r="F22" s="711"/>
      <c r="G22" s="364"/>
      <c r="H22" s="364"/>
      <c r="I22" s="364"/>
      <c r="J22" s="364"/>
      <c r="K22" s="364"/>
      <c r="L22" s="364"/>
      <c r="M22" s="364"/>
      <c r="N22" s="364"/>
      <c r="O22" s="364"/>
      <c r="P22" s="364"/>
      <c r="Q22" s="364"/>
      <c r="R22" s="364"/>
      <c r="S22" s="365"/>
      <c r="T22" s="365"/>
      <c r="U22" s="364"/>
    </row>
    <row r="23" spans="1:22" s="7" customFormat="1" ht="36" customHeight="1">
      <c r="A23" s="369"/>
      <c r="B23" s="370"/>
      <c r="C23" s="345" t="s">
        <v>290</v>
      </c>
      <c r="D23" s="345"/>
      <c r="E23" s="361">
        <v>1.2000000000000002</v>
      </c>
      <c r="F23" s="371" t="s">
        <v>278</v>
      </c>
      <c r="G23" s="311"/>
      <c r="H23" s="372"/>
      <c r="I23" s="372"/>
      <c r="J23" s="373">
        <v>0</v>
      </c>
      <c r="K23" s="373">
        <v>0</v>
      </c>
      <c r="L23" s="372">
        <v>0</v>
      </c>
      <c r="M23" s="372">
        <v>4</v>
      </c>
      <c r="N23" s="372"/>
      <c r="O23" s="372"/>
      <c r="P23" s="372">
        <v>5</v>
      </c>
      <c r="Q23" s="342">
        <f>H23*$C$2+J23+((L23*$C$2+N23)*$P23)</f>
        <v>0</v>
      </c>
      <c r="R23" s="342">
        <f aca="true" t="shared" si="0" ref="R23:R31">I23*$C$2+K23+((M23*$C$2+O23)*$P23)</f>
        <v>2000</v>
      </c>
      <c r="S23" s="343">
        <f>H23+(L23*P23)</f>
        <v>0</v>
      </c>
      <c r="T23" s="343">
        <f>I23+(M23*P23)</f>
        <v>20</v>
      </c>
      <c r="U23" s="374" t="s">
        <v>318</v>
      </c>
      <c r="V23" s="62" t="s">
        <v>469</v>
      </c>
    </row>
    <row r="24" spans="1:22" s="7" customFormat="1" ht="36" customHeight="1">
      <c r="A24" s="369"/>
      <c r="B24" s="370"/>
      <c r="C24" s="345" t="s">
        <v>290</v>
      </c>
      <c r="D24" s="345"/>
      <c r="E24" s="361">
        <v>2.2</v>
      </c>
      <c r="F24" s="371" t="s">
        <v>279</v>
      </c>
      <c r="G24" s="311"/>
      <c r="H24" s="372"/>
      <c r="I24" s="372"/>
      <c r="J24" s="373">
        <v>0</v>
      </c>
      <c r="K24" s="373">
        <v>0</v>
      </c>
      <c r="L24" s="372">
        <v>0</v>
      </c>
      <c r="M24" s="372">
        <v>4</v>
      </c>
      <c r="N24" s="372"/>
      <c r="O24" s="372"/>
      <c r="P24" s="372">
        <v>5</v>
      </c>
      <c r="Q24" s="342">
        <f aca="true" t="shared" si="1" ref="Q24:R38">H24*$C$2+J24+((L24*$C$2+N24)*$P24)</f>
        <v>0</v>
      </c>
      <c r="R24" s="342">
        <f t="shared" si="0"/>
        <v>2000</v>
      </c>
      <c r="S24" s="343">
        <f aca="true" t="shared" si="2" ref="S24:S31">H24+(L24*P24)</f>
        <v>0</v>
      </c>
      <c r="T24" s="343">
        <f aca="true" t="shared" si="3" ref="T24:T31">I24+(M24*P24)</f>
        <v>20</v>
      </c>
      <c r="U24" s="374" t="s">
        <v>319</v>
      </c>
      <c r="V24" s="62" t="s">
        <v>469</v>
      </c>
    </row>
    <row r="25" spans="1:22" s="7" customFormat="1" ht="36" customHeight="1">
      <c r="A25" s="369"/>
      <c r="B25" s="370"/>
      <c r="C25" s="345" t="s">
        <v>77</v>
      </c>
      <c r="D25" s="345"/>
      <c r="E25" s="361">
        <v>3.6000000000000005</v>
      </c>
      <c r="F25" s="371" t="s">
        <v>280</v>
      </c>
      <c r="G25" s="311"/>
      <c r="H25" s="372"/>
      <c r="I25" s="372"/>
      <c r="J25" s="373">
        <v>0</v>
      </c>
      <c r="K25" s="373">
        <v>0</v>
      </c>
      <c r="L25" s="372">
        <v>1</v>
      </c>
      <c r="M25" s="372">
        <v>2</v>
      </c>
      <c r="N25" s="372"/>
      <c r="O25" s="372"/>
      <c r="P25" s="372">
        <v>5</v>
      </c>
      <c r="Q25" s="342">
        <f t="shared" si="1"/>
        <v>500</v>
      </c>
      <c r="R25" s="342">
        <f t="shared" si="0"/>
        <v>1000</v>
      </c>
      <c r="S25" s="343">
        <f t="shared" si="2"/>
        <v>5</v>
      </c>
      <c r="T25" s="343">
        <f t="shared" si="3"/>
        <v>10</v>
      </c>
      <c r="U25" s="345" t="s">
        <v>317</v>
      </c>
      <c r="V25" s="62" t="s">
        <v>469</v>
      </c>
    </row>
    <row r="26" spans="1:22" ht="36" customHeight="1">
      <c r="A26" s="375"/>
      <c r="B26" s="367"/>
      <c r="C26" s="311" t="s">
        <v>290</v>
      </c>
      <c r="D26" s="311"/>
      <c r="E26" s="376" t="s">
        <v>123</v>
      </c>
      <c r="F26" s="371" t="s">
        <v>208</v>
      </c>
      <c r="G26" s="311"/>
      <c r="H26" s="372"/>
      <c r="I26" s="372"/>
      <c r="J26" s="373">
        <v>0</v>
      </c>
      <c r="K26" s="373">
        <v>0</v>
      </c>
      <c r="L26" s="372">
        <v>1</v>
      </c>
      <c r="M26" s="372">
        <v>2</v>
      </c>
      <c r="N26" s="372"/>
      <c r="O26" s="372"/>
      <c r="P26" s="372">
        <v>5</v>
      </c>
      <c r="Q26" s="342">
        <f t="shared" si="1"/>
        <v>500</v>
      </c>
      <c r="R26" s="342">
        <f t="shared" si="0"/>
        <v>1000</v>
      </c>
      <c r="S26" s="343">
        <f t="shared" si="2"/>
        <v>5</v>
      </c>
      <c r="T26" s="343">
        <f t="shared" si="3"/>
        <v>10</v>
      </c>
      <c r="U26" s="374" t="s">
        <v>453</v>
      </c>
      <c r="V26" s="62" t="s">
        <v>469</v>
      </c>
    </row>
    <row r="27" spans="1:22" ht="36" customHeight="1">
      <c r="A27" s="358"/>
      <c r="B27" s="358"/>
      <c r="C27" s="311"/>
      <c r="D27" s="361"/>
      <c r="E27" s="361"/>
      <c r="F27" s="371" t="s">
        <v>222</v>
      </c>
      <c r="G27" s="311"/>
      <c r="H27" s="337"/>
      <c r="I27" s="311"/>
      <c r="J27" s="311"/>
      <c r="K27" s="311"/>
      <c r="L27" s="377">
        <v>0</v>
      </c>
      <c r="M27" s="378">
        <v>8</v>
      </c>
      <c r="N27" s="311"/>
      <c r="O27" s="311"/>
      <c r="P27" s="377">
        <v>5</v>
      </c>
      <c r="Q27" s="342">
        <f t="shared" si="1"/>
        <v>0</v>
      </c>
      <c r="R27" s="342">
        <f t="shared" si="0"/>
        <v>4000</v>
      </c>
      <c r="S27" s="343">
        <f t="shared" si="2"/>
        <v>0</v>
      </c>
      <c r="T27" s="343">
        <f t="shared" si="3"/>
        <v>40</v>
      </c>
      <c r="U27" s="345" t="s">
        <v>576</v>
      </c>
      <c r="V27" s="62" t="s">
        <v>469</v>
      </c>
    </row>
    <row r="28" spans="1:22" ht="36" customHeight="1">
      <c r="A28" s="366"/>
      <c r="B28" s="367"/>
      <c r="C28" s="311" t="s">
        <v>290</v>
      </c>
      <c r="D28" s="311"/>
      <c r="E28" s="311" t="s">
        <v>131</v>
      </c>
      <c r="F28" s="379" t="s">
        <v>95</v>
      </c>
      <c r="G28" s="311"/>
      <c r="H28" s="343"/>
      <c r="I28" s="343"/>
      <c r="J28" s="373">
        <v>0</v>
      </c>
      <c r="K28" s="373">
        <v>0</v>
      </c>
      <c r="L28" s="343">
        <v>1</v>
      </c>
      <c r="M28" s="343">
        <v>2</v>
      </c>
      <c r="N28" s="372"/>
      <c r="O28" s="372"/>
      <c r="P28" s="372">
        <v>5</v>
      </c>
      <c r="Q28" s="342">
        <f t="shared" si="1"/>
        <v>500</v>
      </c>
      <c r="R28" s="342">
        <f t="shared" si="0"/>
        <v>1000</v>
      </c>
      <c r="S28" s="343">
        <f t="shared" si="2"/>
        <v>5</v>
      </c>
      <c r="T28" s="343">
        <f t="shared" si="3"/>
        <v>10</v>
      </c>
      <c r="U28" s="374" t="s">
        <v>454</v>
      </c>
      <c r="V28" s="62" t="s">
        <v>469</v>
      </c>
    </row>
    <row r="29" spans="1:22" ht="36" customHeight="1">
      <c r="A29" s="366"/>
      <c r="B29" s="367"/>
      <c r="C29" s="311" t="s">
        <v>290</v>
      </c>
      <c r="D29" s="311"/>
      <c r="E29" s="311" t="s">
        <v>135</v>
      </c>
      <c r="F29" s="379" t="s">
        <v>109</v>
      </c>
      <c r="G29" s="311"/>
      <c r="H29" s="372"/>
      <c r="I29" s="372"/>
      <c r="J29" s="373">
        <v>0</v>
      </c>
      <c r="K29" s="373">
        <v>0</v>
      </c>
      <c r="L29" s="372">
        <v>2</v>
      </c>
      <c r="M29" s="372">
        <v>4</v>
      </c>
      <c r="N29" s="372"/>
      <c r="O29" s="372"/>
      <c r="P29" s="372">
        <v>5</v>
      </c>
      <c r="Q29" s="342">
        <f t="shared" si="1"/>
        <v>1000</v>
      </c>
      <c r="R29" s="342">
        <f t="shared" si="0"/>
        <v>2000</v>
      </c>
      <c r="S29" s="343">
        <f t="shared" si="2"/>
        <v>10</v>
      </c>
      <c r="T29" s="343">
        <f t="shared" si="3"/>
        <v>20</v>
      </c>
      <c r="U29" s="374" t="s">
        <v>561</v>
      </c>
      <c r="V29" s="62" t="s">
        <v>469</v>
      </c>
    </row>
    <row r="30" spans="1:22" ht="36" customHeight="1">
      <c r="A30" s="366"/>
      <c r="B30" s="367"/>
      <c r="C30" s="311" t="s">
        <v>290</v>
      </c>
      <c r="D30" s="311"/>
      <c r="E30" s="311" t="s">
        <v>140</v>
      </c>
      <c r="F30" s="359" t="s">
        <v>108</v>
      </c>
      <c r="G30" s="311"/>
      <c r="H30" s="372"/>
      <c r="I30" s="372"/>
      <c r="J30" s="373">
        <v>0</v>
      </c>
      <c r="K30" s="373">
        <v>0</v>
      </c>
      <c r="L30" s="372">
        <v>0</v>
      </c>
      <c r="M30" s="372">
        <v>4</v>
      </c>
      <c r="N30" s="372"/>
      <c r="O30" s="372"/>
      <c r="P30" s="372">
        <v>5</v>
      </c>
      <c r="Q30" s="342">
        <f t="shared" si="1"/>
        <v>0</v>
      </c>
      <c r="R30" s="342">
        <f t="shared" si="0"/>
        <v>2000</v>
      </c>
      <c r="S30" s="343">
        <f t="shared" si="2"/>
        <v>0</v>
      </c>
      <c r="T30" s="343">
        <f t="shared" si="3"/>
        <v>20</v>
      </c>
      <c r="U30" s="374" t="s">
        <v>455</v>
      </c>
      <c r="V30" s="62" t="s">
        <v>469</v>
      </c>
    </row>
    <row r="31" spans="1:22" ht="36" customHeight="1">
      <c r="A31" s="366"/>
      <c r="B31" s="367"/>
      <c r="C31" s="311" t="s">
        <v>290</v>
      </c>
      <c r="D31" s="311"/>
      <c r="E31" s="311" t="s">
        <v>143</v>
      </c>
      <c r="F31" s="379" t="s">
        <v>118</v>
      </c>
      <c r="G31" s="311"/>
      <c r="H31" s="343"/>
      <c r="I31" s="343"/>
      <c r="J31" s="373">
        <v>0</v>
      </c>
      <c r="K31" s="373">
        <v>0</v>
      </c>
      <c r="L31" s="343">
        <v>1</v>
      </c>
      <c r="M31" s="343">
        <v>2</v>
      </c>
      <c r="N31" s="372"/>
      <c r="O31" s="372"/>
      <c r="P31" s="372">
        <v>5</v>
      </c>
      <c r="Q31" s="342">
        <f t="shared" si="1"/>
        <v>500</v>
      </c>
      <c r="R31" s="342">
        <f t="shared" si="0"/>
        <v>1000</v>
      </c>
      <c r="S31" s="343">
        <f t="shared" si="2"/>
        <v>5</v>
      </c>
      <c r="T31" s="343">
        <f t="shared" si="3"/>
        <v>10</v>
      </c>
      <c r="U31" s="345" t="s">
        <v>456</v>
      </c>
      <c r="V31" s="62" t="s">
        <v>469</v>
      </c>
    </row>
    <row r="32" spans="1:21" ht="36" customHeight="1">
      <c r="A32" s="362"/>
      <c r="B32" s="363"/>
      <c r="C32" s="364"/>
      <c r="D32" s="364"/>
      <c r="E32" s="710" t="s">
        <v>281</v>
      </c>
      <c r="F32" s="711"/>
      <c r="G32" s="364"/>
      <c r="H32" s="365"/>
      <c r="I32" s="365"/>
      <c r="J32" s="365"/>
      <c r="K32" s="380"/>
      <c r="L32" s="365"/>
      <c r="M32" s="365"/>
      <c r="N32" s="365"/>
      <c r="O32" s="365"/>
      <c r="P32" s="381"/>
      <c r="Q32" s="381"/>
      <c r="R32" s="380"/>
      <c r="S32" s="365"/>
      <c r="T32" s="365"/>
      <c r="U32" s="382"/>
    </row>
    <row r="33" spans="1:22" ht="36" customHeight="1">
      <c r="A33" s="366"/>
      <c r="B33" s="367"/>
      <c r="C33" s="311" t="s">
        <v>290</v>
      </c>
      <c r="D33" s="311"/>
      <c r="E33" s="311">
        <v>1.5</v>
      </c>
      <c r="F33" s="346" t="s">
        <v>159</v>
      </c>
      <c r="G33" s="311"/>
      <c r="H33" s="343"/>
      <c r="I33" s="343"/>
      <c r="J33" s="373">
        <v>0</v>
      </c>
      <c r="K33" s="373">
        <v>0</v>
      </c>
      <c r="L33" s="343">
        <v>1</v>
      </c>
      <c r="M33" s="343">
        <v>2</v>
      </c>
      <c r="N33" s="343"/>
      <c r="O33" s="343"/>
      <c r="P33" s="343">
        <v>5</v>
      </c>
      <c r="Q33" s="342">
        <f t="shared" si="1"/>
        <v>500</v>
      </c>
      <c r="R33" s="342">
        <f t="shared" si="1"/>
        <v>1000</v>
      </c>
      <c r="S33" s="343">
        <f>H33+(L33*P33)</f>
        <v>5</v>
      </c>
      <c r="T33" s="343">
        <f>I33+(M33*P33)</f>
        <v>10</v>
      </c>
      <c r="U33" s="374" t="s">
        <v>560</v>
      </c>
      <c r="V33" s="62" t="s">
        <v>469</v>
      </c>
    </row>
    <row r="34" spans="1:21" ht="36" customHeight="1">
      <c r="A34" s="362"/>
      <c r="B34" s="363"/>
      <c r="C34" s="364"/>
      <c r="D34" s="364"/>
      <c r="E34" s="710" t="s">
        <v>282</v>
      </c>
      <c r="F34" s="711"/>
      <c r="G34" s="364"/>
      <c r="H34" s="365"/>
      <c r="I34" s="365"/>
      <c r="J34" s="365"/>
      <c r="K34" s="380"/>
      <c r="L34" s="365"/>
      <c r="M34" s="365"/>
      <c r="N34" s="365"/>
      <c r="O34" s="365"/>
      <c r="P34" s="365"/>
      <c r="Q34" s="365"/>
      <c r="R34" s="380"/>
      <c r="S34" s="365"/>
      <c r="T34" s="365"/>
      <c r="U34" s="382"/>
    </row>
    <row r="35" spans="1:22" ht="36" customHeight="1">
      <c r="A35" s="366"/>
      <c r="B35" s="367"/>
      <c r="C35" s="311" t="s">
        <v>290</v>
      </c>
      <c r="D35" s="311"/>
      <c r="E35" s="337">
        <v>1.3</v>
      </c>
      <c r="F35" s="379" t="s">
        <v>283</v>
      </c>
      <c r="G35" s="311"/>
      <c r="H35" s="343"/>
      <c r="I35" s="343"/>
      <c r="J35" s="373">
        <v>0</v>
      </c>
      <c r="K35" s="373">
        <v>0</v>
      </c>
      <c r="L35" s="343">
        <v>1</v>
      </c>
      <c r="M35" s="343">
        <v>2</v>
      </c>
      <c r="N35" s="343"/>
      <c r="O35" s="343"/>
      <c r="P35" s="343">
        <v>5</v>
      </c>
      <c r="Q35" s="342">
        <f t="shared" si="1"/>
        <v>500</v>
      </c>
      <c r="R35" s="342">
        <f t="shared" si="1"/>
        <v>1000</v>
      </c>
      <c r="S35" s="343">
        <f>H35+(L35*P35)</f>
        <v>5</v>
      </c>
      <c r="T35" s="343">
        <f>I35+(M35*P35)</f>
        <v>10</v>
      </c>
      <c r="U35" s="345" t="s">
        <v>457</v>
      </c>
      <c r="V35" s="62" t="s">
        <v>469</v>
      </c>
    </row>
    <row r="36" spans="1:22" ht="36" customHeight="1">
      <c r="A36" s="366"/>
      <c r="B36" s="367"/>
      <c r="C36" s="311" t="s">
        <v>77</v>
      </c>
      <c r="D36" s="311"/>
      <c r="E36" s="337">
        <v>2.2</v>
      </c>
      <c r="F36" s="359" t="s">
        <v>284</v>
      </c>
      <c r="G36" s="311"/>
      <c r="H36" s="343"/>
      <c r="I36" s="343"/>
      <c r="J36" s="373">
        <v>0</v>
      </c>
      <c r="K36" s="373">
        <v>0</v>
      </c>
      <c r="L36" s="343">
        <v>1</v>
      </c>
      <c r="M36" s="343">
        <v>2</v>
      </c>
      <c r="N36" s="372"/>
      <c r="O36" s="372"/>
      <c r="P36" s="372">
        <v>4</v>
      </c>
      <c r="Q36" s="342">
        <f t="shared" si="1"/>
        <v>400</v>
      </c>
      <c r="R36" s="342">
        <f t="shared" si="1"/>
        <v>800</v>
      </c>
      <c r="S36" s="343">
        <f>H36+(L36*P36)</f>
        <v>4</v>
      </c>
      <c r="T36" s="343">
        <f>I36+(M36*P36)</f>
        <v>8</v>
      </c>
      <c r="U36" s="345" t="s">
        <v>458</v>
      </c>
      <c r="V36" s="62" t="s">
        <v>469</v>
      </c>
    </row>
    <row r="37" spans="1:22" ht="36" customHeight="1">
      <c r="A37" s="366"/>
      <c r="B37" s="367"/>
      <c r="C37" s="311" t="s">
        <v>103</v>
      </c>
      <c r="D37" s="311"/>
      <c r="E37" s="337">
        <v>3.2</v>
      </c>
      <c r="F37" s="359" t="s">
        <v>285</v>
      </c>
      <c r="G37" s="311"/>
      <c r="H37" s="343"/>
      <c r="I37" s="343"/>
      <c r="J37" s="373">
        <v>0</v>
      </c>
      <c r="K37" s="373">
        <v>0</v>
      </c>
      <c r="L37" s="343">
        <v>1</v>
      </c>
      <c r="M37" s="343">
        <v>2</v>
      </c>
      <c r="N37" s="372"/>
      <c r="O37" s="372"/>
      <c r="P37" s="372">
        <v>3</v>
      </c>
      <c r="Q37" s="342">
        <f t="shared" si="1"/>
        <v>300</v>
      </c>
      <c r="R37" s="342">
        <f t="shared" si="1"/>
        <v>600</v>
      </c>
      <c r="S37" s="343">
        <f>H37+(L37*P37)</f>
        <v>3</v>
      </c>
      <c r="T37" s="343">
        <f>I37+(M37*P37)</f>
        <v>6</v>
      </c>
      <c r="U37" s="345" t="s">
        <v>458</v>
      </c>
      <c r="V37" s="62" t="s">
        <v>469</v>
      </c>
    </row>
    <row r="38" spans="1:22" ht="36" customHeight="1">
      <c r="A38" s="366"/>
      <c r="B38" s="367"/>
      <c r="C38" s="345" t="s">
        <v>171</v>
      </c>
      <c r="D38" s="311"/>
      <c r="E38" s="337">
        <v>5.2</v>
      </c>
      <c r="F38" s="379" t="s">
        <v>286</v>
      </c>
      <c r="G38" s="311"/>
      <c r="H38" s="343"/>
      <c r="I38" s="343"/>
      <c r="J38" s="373">
        <v>0</v>
      </c>
      <c r="K38" s="373">
        <v>0</v>
      </c>
      <c r="L38" s="343">
        <v>1</v>
      </c>
      <c r="M38" s="343">
        <v>2</v>
      </c>
      <c r="N38" s="372"/>
      <c r="O38" s="372"/>
      <c r="P38" s="372">
        <v>1</v>
      </c>
      <c r="Q38" s="342">
        <f t="shared" si="1"/>
        <v>100</v>
      </c>
      <c r="R38" s="342">
        <f t="shared" si="1"/>
        <v>200</v>
      </c>
      <c r="S38" s="343">
        <f>H38+(L38*P38)</f>
        <v>1</v>
      </c>
      <c r="T38" s="343">
        <f>I38+(M38*P38)</f>
        <v>2</v>
      </c>
      <c r="U38" s="345" t="s">
        <v>458</v>
      </c>
      <c r="V38" s="62" t="s">
        <v>469</v>
      </c>
    </row>
    <row r="39" spans="1:21" ht="36" customHeight="1">
      <c r="A39" s="362"/>
      <c r="B39" s="363"/>
      <c r="C39" s="364"/>
      <c r="D39" s="364"/>
      <c r="E39" s="710" t="s">
        <v>287</v>
      </c>
      <c r="F39" s="711"/>
      <c r="G39" s="364"/>
      <c r="H39" s="365"/>
      <c r="I39" s="365"/>
      <c r="J39" s="365"/>
      <c r="K39" s="380"/>
      <c r="L39" s="365"/>
      <c r="M39" s="365"/>
      <c r="N39" s="365"/>
      <c r="O39" s="365"/>
      <c r="P39" s="381"/>
      <c r="Q39" s="381"/>
      <c r="R39" s="380"/>
      <c r="S39" s="365"/>
      <c r="T39" s="365"/>
      <c r="U39" s="382"/>
    </row>
    <row r="40" spans="1:22" ht="39.75" customHeight="1">
      <c r="A40" s="366"/>
      <c r="B40" s="367"/>
      <c r="C40" s="311" t="s">
        <v>290</v>
      </c>
      <c r="D40" s="311"/>
      <c r="E40" s="311"/>
      <c r="F40" s="359" t="s">
        <v>173</v>
      </c>
      <c r="G40" s="311"/>
      <c r="H40" s="343"/>
      <c r="I40" s="343"/>
      <c r="J40" s="373">
        <v>0</v>
      </c>
      <c r="K40" s="373">
        <v>0</v>
      </c>
      <c r="L40" s="372">
        <v>4</v>
      </c>
      <c r="M40" s="372">
        <v>8</v>
      </c>
      <c r="N40" s="372"/>
      <c r="O40" s="372"/>
      <c r="P40" s="372">
        <v>5</v>
      </c>
      <c r="Q40" s="342">
        <f aca="true" t="shared" si="4" ref="Q40:R43">H40*$C$2+J40+((L40*$C$2+N40)*$P40)</f>
        <v>2000</v>
      </c>
      <c r="R40" s="342">
        <f t="shared" si="4"/>
        <v>4000</v>
      </c>
      <c r="S40" s="383">
        <v>5</v>
      </c>
      <c r="T40" s="384">
        <v>10</v>
      </c>
      <c r="U40" s="345" t="s">
        <v>577</v>
      </c>
      <c r="V40" s="62" t="s">
        <v>469</v>
      </c>
    </row>
    <row r="41" spans="1:22" ht="36" customHeight="1">
      <c r="A41" s="366"/>
      <c r="B41" s="367"/>
      <c r="C41" s="311" t="s">
        <v>290</v>
      </c>
      <c r="D41" s="311"/>
      <c r="E41" s="311"/>
      <c r="F41" s="379" t="s">
        <v>288</v>
      </c>
      <c r="G41" s="311"/>
      <c r="H41" s="343"/>
      <c r="I41" s="343"/>
      <c r="J41" s="373">
        <v>0</v>
      </c>
      <c r="K41" s="373">
        <v>0</v>
      </c>
      <c r="L41" s="372">
        <v>4</v>
      </c>
      <c r="M41" s="372">
        <v>8</v>
      </c>
      <c r="N41" s="372"/>
      <c r="O41" s="372"/>
      <c r="P41" s="372">
        <v>5</v>
      </c>
      <c r="Q41" s="342">
        <f t="shared" si="4"/>
        <v>2000</v>
      </c>
      <c r="R41" s="342">
        <f t="shared" si="4"/>
        <v>4000</v>
      </c>
      <c r="S41" s="383">
        <v>5</v>
      </c>
      <c r="T41" s="384">
        <v>10</v>
      </c>
      <c r="U41" s="345" t="s">
        <v>578</v>
      </c>
      <c r="V41" s="62" t="s">
        <v>469</v>
      </c>
    </row>
    <row r="42" spans="1:22" ht="36" customHeight="1">
      <c r="A42" s="366"/>
      <c r="B42" s="367"/>
      <c r="C42" s="311" t="s">
        <v>290</v>
      </c>
      <c r="D42" s="311"/>
      <c r="E42" s="311"/>
      <c r="F42" s="379" t="s">
        <v>175</v>
      </c>
      <c r="G42" s="311"/>
      <c r="H42" s="343"/>
      <c r="I42" s="343"/>
      <c r="J42" s="373">
        <v>0</v>
      </c>
      <c r="K42" s="373">
        <v>0</v>
      </c>
      <c r="L42" s="372">
        <v>2</v>
      </c>
      <c r="M42" s="372">
        <v>4</v>
      </c>
      <c r="N42" s="372"/>
      <c r="O42" s="372"/>
      <c r="P42" s="372">
        <v>5</v>
      </c>
      <c r="Q42" s="342">
        <f t="shared" si="4"/>
        <v>1000</v>
      </c>
      <c r="R42" s="342">
        <f t="shared" si="4"/>
        <v>2000</v>
      </c>
      <c r="S42" s="383">
        <v>5</v>
      </c>
      <c r="T42" s="384">
        <v>10</v>
      </c>
      <c r="U42" s="345" t="s">
        <v>579</v>
      </c>
      <c r="V42" s="62" t="s">
        <v>469</v>
      </c>
    </row>
    <row r="43" spans="1:22" ht="54" customHeight="1">
      <c r="A43" s="367"/>
      <c r="B43" s="367"/>
      <c r="C43" s="311" t="s">
        <v>77</v>
      </c>
      <c r="D43" s="311"/>
      <c r="E43" s="311"/>
      <c r="F43" s="379" t="s">
        <v>289</v>
      </c>
      <c r="G43" s="311"/>
      <c r="H43" s="343"/>
      <c r="I43" s="343"/>
      <c r="J43" s="373">
        <v>0</v>
      </c>
      <c r="K43" s="373">
        <v>0</v>
      </c>
      <c r="L43" s="372">
        <v>2</v>
      </c>
      <c r="M43" s="372">
        <v>4</v>
      </c>
      <c r="N43" s="372"/>
      <c r="O43" s="372"/>
      <c r="P43" s="372">
        <v>5</v>
      </c>
      <c r="Q43" s="342">
        <f t="shared" si="4"/>
        <v>1000</v>
      </c>
      <c r="R43" s="342">
        <f t="shared" si="4"/>
        <v>2000</v>
      </c>
      <c r="S43" s="383">
        <v>5</v>
      </c>
      <c r="T43" s="384">
        <v>10</v>
      </c>
      <c r="U43" s="345" t="s">
        <v>562</v>
      </c>
      <c r="V43" s="62" t="s">
        <v>469</v>
      </c>
    </row>
    <row r="44" spans="1:21" ht="36" customHeight="1">
      <c r="A44"/>
      <c r="B44" s="385"/>
      <c r="C44" s="348"/>
      <c r="D44" s="348"/>
      <c r="E44" s="348"/>
      <c r="F44" s="348"/>
      <c r="G44" s="348"/>
      <c r="H44" s="350"/>
      <c r="I44" s="350"/>
      <c r="J44" s="350"/>
      <c r="K44" s="349"/>
      <c r="L44" s="350"/>
      <c r="M44" s="350"/>
      <c r="N44" s="350"/>
      <c r="O44" s="350"/>
      <c r="P44" s="351" t="s">
        <v>332</v>
      </c>
      <c r="Q44" s="352">
        <f>ROUND((SUM(Q17:Q43)),3-(INT(LOG((SUM(Q17:Q43)))+1)))</f>
        <v>25300</v>
      </c>
      <c r="R44" s="352">
        <f>ROUND((SUM(R17:R43)),3-(INT(LOG((SUM(R17:R43)))+1)))</f>
        <v>51600</v>
      </c>
      <c r="S44" s="353">
        <f>ROUND((SUM(S17:S43)),3-(INT(LOG((SUM(S17:S43)))+1)))</f>
        <v>213</v>
      </c>
      <c r="T44" s="353">
        <f>ROUND((SUM(T17:T43)),3-(INT(LOG((SUM(T17:T43)))+1)))</f>
        <v>436</v>
      </c>
      <c r="U44" s="311"/>
    </row>
    <row r="45" spans="1:21" ht="13.5">
      <c r="A45"/>
      <c r="G45" s="2"/>
      <c r="U45"/>
    </row>
    <row r="46" spans="1:21" ht="13.5">
      <c r="A46"/>
      <c r="U46"/>
    </row>
    <row r="47" spans="1:21" ht="13.5">
      <c r="A47"/>
      <c r="U47"/>
    </row>
    <row r="48" spans="1:21" ht="13.5">
      <c r="A48"/>
      <c r="U48"/>
    </row>
    <row r="49" spans="1:21" ht="13.5" customHeight="1">
      <c r="A49"/>
      <c r="U49"/>
    </row>
    <row r="50" spans="1:21" ht="55.5" customHeight="1">
      <c r="A50"/>
      <c r="U50"/>
    </row>
    <row r="51" spans="1:21" ht="13.5">
      <c r="A51"/>
      <c r="U51"/>
    </row>
    <row r="52" spans="1:21" ht="126" customHeight="1">
      <c r="A52"/>
      <c r="U52"/>
    </row>
    <row r="53" spans="1:21" ht="13.5">
      <c r="A53"/>
      <c r="U53"/>
    </row>
    <row r="54" spans="1:21" ht="13.5">
      <c r="A54"/>
      <c r="C54"/>
      <c r="H54"/>
      <c r="I54"/>
      <c r="J54"/>
      <c r="K54"/>
      <c r="L54"/>
      <c r="M54"/>
      <c r="N54"/>
      <c r="O54"/>
      <c r="P54"/>
      <c r="Q54"/>
      <c r="R54"/>
      <c r="S54"/>
      <c r="T54"/>
      <c r="U54"/>
    </row>
    <row r="55" spans="1:21" ht="13.5">
      <c r="A55"/>
      <c r="C55"/>
      <c r="H55"/>
      <c r="I55"/>
      <c r="J55"/>
      <c r="K55"/>
      <c r="L55"/>
      <c r="M55"/>
      <c r="N55"/>
      <c r="O55"/>
      <c r="P55"/>
      <c r="Q55"/>
      <c r="R55"/>
      <c r="S55"/>
      <c r="T55"/>
      <c r="U55"/>
    </row>
    <row r="56" spans="1:21" ht="48.75" customHeight="1">
      <c r="A56"/>
      <c r="C56"/>
      <c r="H56"/>
      <c r="I56"/>
      <c r="J56"/>
      <c r="K56"/>
      <c r="L56"/>
      <c r="M56"/>
      <c r="N56"/>
      <c r="O56"/>
      <c r="P56"/>
      <c r="Q56"/>
      <c r="R56"/>
      <c r="S56"/>
      <c r="T56"/>
      <c r="U56"/>
    </row>
    <row r="57" spans="1:21" ht="55.5" customHeight="1">
      <c r="A57"/>
      <c r="C57"/>
      <c r="H57"/>
      <c r="I57"/>
      <c r="J57"/>
      <c r="K57"/>
      <c r="L57"/>
      <c r="M57"/>
      <c r="N57"/>
      <c r="O57"/>
      <c r="P57"/>
      <c r="Q57"/>
      <c r="R57"/>
      <c r="S57"/>
      <c r="T57"/>
      <c r="U57"/>
    </row>
    <row r="58" spans="1:21" ht="13.5">
      <c r="A58"/>
      <c r="C58"/>
      <c r="H58"/>
      <c r="I58"/>
      <c r="J58"/>
      <c r="K58"/>
      <c r="L58"/>
      <c r="M58"/>
      <c r="N58"/>
      <c r="O58"/>
      <c r="P58"/>
      <c r="Q58"/>
      <c r="R58"/>
      <c r="S58"/>
      <c r="T58"/>
      <c r="U58"/>
    </row>
    <row r="59" spans="1:21" ht="13.5">
      <c r="A59"/>
      <c r="C59"/>
      <c r="H59"/>
      <c r="I59"/>
      <c r="J59"/>
      <c r="K59"/>
      <c r="L59"/>
      <c r="M59"/>
      <c r="N59"/>
      <c r="O59"/>
      <c r="P59"/>
      <c r="Q59"/>
      <c r="R59"/>
      <c r="S59"/>
      <c r="T59"/>
      <c r="U59"/>
    </row>
    <row r="60" spans="1:21" ht="42" customHeight="1">
      <c r="A60"/>
      <c r="C60"/>
      <c r="H60"/>
      <c r="I60"/>
      <c r="J60"/>
      <c r="K60"/>
      <c r="L60"/>
      <c r="M60"/>
      <c r="N60"/>
      <c r="O60"/>
      <c r="P60"/>
      <c r="Q60"/>
      <c r="R60"/>
      <c r="S60"/>
      <c r="T60"/>
      <c r="U60"/>
    </row>
    <row r="61" spans="1:21" ht="42" customHeight="1">
      <c r="A61"/>
      <c r="C61"/>
      <c r="H61"/>
      <c r="I61"/>
      <c r="J61"/>
      <c r="K61"/>
      <c r="L61"/>
      <c r="M61"/>
      <c r="N61"/>
      <c r="O61"/>
      <c r="P61"/>
      <c r="Q61"/>
      <c r="R61"/>
      <c r="S61"/>
      <c r="T61"/>
      <c r="U61"/>
    </row>
    <row r="62" spans="1:21" ht="13.5">
      <c r="A62"/>
      <c r="C62"/>
      <c r="H62"/>
      <c r="I62"/>
      <c r="J62"/>
      <c r="K62"/>
      <c r="L62"/>
      <c r="M62"/>
      <c r="N62"/>
      <c r="O62"/>
      <c r="P62"/>
      <c r="Q62"/>
      <c r="R62"/>
      <c r="S62"/>
      <c r="T62"/>
      <c r="U62"/>
    </row>
    <row r="63" spans="1:21" ht="13.5" customHeight="1">
      <c r="A63"/>
      <c r="C63"/>
      <c r="H63"/>
      <c r="I63"/>
      <c r="J63"/>
      <c r="K63"/>
      <c r="L63"/>
      <c r="M63"/>
      <c r="N63"/>
      <c r="O63"/>
      <c r="P63"/>
      <c r="Q63"/>
      <c r="R63"/>
      <c r="S63"/>
      <c r="T63"/>
      <c r="U63"/>
    </row>
    <row r="64" spans="1:21" ht="13.5">
      <c r="A64"/>
      <c r="C64"/>
      <c r="H64"/>
      <c r="I64"/>
      <c r="J64"/>
      <c r="K64"/>
      <c r="L64"/>
      <c r="M64"/>
      <c r="N64"/>
      <c r="O64"/>
      <c r="P64"/>
      <c r="Q64"/>
      <c r="R64"/>
      <c r="S64"/>
      <c r="T64"/>
      <c r="U64"/>
    </row>
    <row r="65" spans="1:21" ht="13.5" customHeight="1">
      <c r="A65"/>
      <c r="C65"/>
      <c r="H65"/>
      <c r="I65"/>
      <c r="J65"/>
      <c r="K65"/>
      <c r="L65"/>
      <c r="M65"/>
      <c r="N65"/>
      <c r="O65"/>
      <c r="P65"/>
      <c r="Q65"/>
      <c r="R65"/>
      <c r="S65"/>
      <c r="T65"/>
      <c r="U65"/>
    </row>
    <row r="66" spans="1:21" ht="42" customHeight="1">
      <c r="A66"/>
      <c r="C66"/>
      <c r="H66"/>
      <c r="I66"/>
      <c r="J66"/>
      <c r="K66"/>
      <c r="L66"/>
      <c r="M66"/>
      <c r="N66"/>
      <c r="O66"/>
      <c r="P66"/>
      <c r="Q66"/>
      <c r="R66"/>
      <c r="S66"/>
      <c r="T66"/>
      <c r="U66"/>
    </row>
    <row r="67" spans="1:21" ht="13.5">
      <c r="A67"/>
      <c r="C67"/>
      <c r="H67"/>
      <c r="I67"/>
      <c r="J67"/>
      <c r="K67"/>
      <c r="L67"/>
      <c r="M67"/>
      <c r="N67"/>
      <c r="O67"/>
      <c r="P67"/>
      <c r="Q67"/>
      <c r="R67"/>
      <c r="S67"/>
      <c r="T67"/>
      <c r="U67"/>
    </row>
    <row r="68" spans="1:21" ht="69.75" customHeight="1">
      <c r="A68"/>
      <c r="C68"/>
      <c r="H68"/>
      <c r="I68"/>
      <c r="J68"/>
      <c r="K68"/>
      <c r="L68"/>
      <c r="M68"/>
      <c r="N68"/>
      <c r="O68"/>
      <c r="P68"/>
      <c r="Q68"/>
      <c r="R68"/>
      <c r="S68"/>
      <c r="T68"/>
      <c r="U68"/>
    </row>
    <row r="69" spans="1:21" ht="13.5">
      <c r="A69"/>
      <c r="C69"/>
      <c r="H69"/>
      <c r="I69"/>
      <c r="J69"/>
      <c r="K69"/>
      <c r="L69"/>
      <c r="M69"/>
      <c r="N69"/>
      <c r="O69"/>
      <c r="P69"/>
      <c r="Q69"/>
      <c r="R69"/>
      <c r="S69"/>
      <c r="T69"/>
      <c r="U69"/>
    </row>
    <row r="70" spans="1:21" ht="13.5">
      <c r="A70"/>
      <c r="C70"/>
      <c r="H70"/>
      <c r="I70"/>
      <c r="J70"/>
      <c r="K70"/>
      <c r="L70"/>
      <c r="M70"/>
      <c r="N70"/>
      <c r="O70"/>
      <c r="P70"/>
      <c r="Q70"/>
      <c r="R70"/>
      <c r="S70"/>
      <c r="T70"/>
      <c r="U70"/>
    </row>
    <row r="71" spans="1:21" ht="13.5">
      <c r="A71"/>
      <c r="C71"/>
      <c r="H71"/>
      <c r="I71"/>
      <c r="J71"/>
      <c r="K71"/>
      <c r="L71"/>
      <c r="M71"/>
      <c r="N71"/>
      <c r="O71"/>
      <c r="P71"/>
      <c r="Q71"/>
      <c r="R71"/>
      <c r="S71"/>
      <c r="T71"/>
      <c r="U71"/>
    </row>
    <row r="72" spans="1:21" ht="13.5">
      <c r="A72"/>
      <c r="C72"/>
      <c r="H72"/>
      <c r="I72"/>
      <c r="J72"/>
      <c r="K72"/>
      <c r="L72"/>
      <c r="M72"/>
      <c r="N72"/>
      <c r="O72"/>
      <c r="P72"/>
      <c r="Q72"/>
      <c r="R72"/>
      <c r="S72"/>
      <c r="T72"/>
      <c r="U72"/>
    </row>
    <row r="73" spans="1:21" ht="13.5">
      <c r="A73"/>
      <c r="C73"/>
      <c r="H73"/>
      <c r="I73"/>
      <c r="J73"/>
      <c r="K73"/>
      <c r="L73"/>
      <c r="M73"/>
      <c r="N73"/>
      <c r="O73"/>
      <c r="P73"/>
      <c r="Q73"/>
      <c r="R73"/>
      <c r="S73"/>
      <c r="T73"/>
      <c r="U73"/>
    </row>
    <row r="74" spans="1:21" ht="13.5">
      <c r="A74"/>
      <c r="C74"/>
      <c r="H74"/>
      <c r="I74"/>
      <c r="J74"/>
      <c r="K74"/>
      <c r="L74"/>
      <c r="M74"/>
      <c r="N74"/>
      <c r="O74"/>
      <c r="P74"/>
      <c r="Q74"/>
      <c r="R74"/>
      <c r="S74"/>
      <c r="T74"/>
      <c r="U74"/>
    </row>
    <row r="75" spans="1:21" ht="13.5">
      <c r="A75"/>
      <c r="C75"/>
      <c r="H75"/>
      <c r="I75"/>
      <c r="J75"/>
      <c r="K75"/>
      <c r="L75"/>
      <c r="M75"/>
      <c r="N75"/>
      <c r="O75"/>
      <c r="P75"/>
      <c r="Q75"/>
      <c r="R75"/>
      <c r="S75"/>
      <c r="T75"/>
      <c r="U75"/>
    </row>
    <row r="76" spans="1:21" ht="13.5">
      <c r="A76"/>
      <c r="C76"/>
      <c r="H76"/>
      <c r="I76"/>
      <c r="J76"/>
      <c r="K76"/>
      <c r="L76"/>
      <c r="M76"/>
      <c r="N76"/>
      <c r="O76"/>
      <c r="P76"/>
      <c r="Q76"/>
      <c r="R76"/>
      <c r="S76"/>
      <c r="T76"/>
      <c r="U76"/>
    </row>
    <row r="77" spans="1:21" ht="13.5">
      <c r="A77"/>
      <c r="C77"/>
      <c r="H77"/>
      <c r="I77"/>
      <c r="J77"/>
      <c r="K77"/>
      <c r="L77"/>
      <c r="M77"/>
      <c r="N77"/>
      <c r="O77"/>
      <c r="P77"/>
      <c r="Q77"/>
      <c r="R77"/>
      <c r="S77"/>
      <c r="T77"/>
      <c r="U77"/>
    </row>
    <row r="78" spans="1:21" ht="13.5">
      <c r="A78"/>
      <c r="C78"/>
      <c r="H78"/>
      <c r="I78"/>
      <c r="J78"/>
      <c r="K78"/>
      <c r="L78"/>
      <c r="M78"/>
      <c r="N78"/>
      <c r="O78"/>
      <c r="P78"/>
      <c r="Q78"/>
      <c r="R78"/>
      <c r="S78"/>
      <c r="T78"/>
      <c r="U78"/>
    </row>
    <row r="79" spans="1:21" ht="13.5">
      <c r="A79"/>
      <c r="C79"/>
      <c r="H79"/>
      <c r="I79"/>
      <c r="J79"/>
      <c r="K79"/>
      <c r="L79"/>
      <c r="M79"/>
      <c r="N79"/>
      <c r="O79"/>
      <c r="P79"/>
      <c r="Q79"/>
      <c r="R79"/>
      <c r="S79"/>
      <c r="T79"/>
      <c r="U79"/>
    </row>
    <row r="80" spans="1:21" ht="13.5">
      <c r="A80"/>
      <c r="C80"/>
      <c r="H80"/>
      <c r="I80"/>
      <c r="J80"/>
      <c r="K80"/>
      <c r="L80"/>
      <c r="M80"/>
      <c r="N80"/>
      <c r="O80"/>
      <c r="P80"/>
      <c r="Q80"/>
      <c r="R80"/>
      <c r="S80"/>
      <c r="T80"/>
      <c r="U80"/>
    </row>
    <row r="81" spans="1:21" ht="13.5">
      <c r="A81"/>
      <c r="C81"/>
      <c r="H81"/>
      <c r="I81"/>
      <c r="J81"/>
      <c r="K81"/>
      <c r="L81"/>
      <c r="M81"/>
      <c r="N81"/>
      <c r="O81"/>
      <c r="P81"/>
      <c r="Q81"/>
      <c r="R81"/>
      <c r="S81"/>
      <c r="T81"/>
      <c r="U81"/>
    </row>
    <row r="83" spans="1:21" ht="13.5">
      <c r="A83"/>
      <c r="C83"/>
      <c r="H83"/>
      <c r="I83"/>
      <c r="J83"/>
      <c r="K83"/>
      <c r="L83"/>
      <c r="M83"/>
      <c r="N83"/>
      <c r="O83"/>
      <c r="P83"/>
      <c r="Q83"/>
      <c r="R83"/>
      <c r="S83"/>
      <c r="T83"/>
      <c r="U83"/>
    </row>
    <row r="85" spans="1:21" ht="13.5">
      <c r="A85"/>
      <c r="C85"/>
      <c r="H85"/>
      <c r="I85"/>
      <c r="J85"/>
      <c r="K85"/>
      <c r="L85"/>
      <c r="M85"/>
      <c r="N85"/>
      <c r="O85"/>
      <c r="P85"/>
      <c r="Q85"/>
      <c r="R85"/>
      <c r="S85"/>
      <c r="T85"/>
      <c r="U85"/>
    </row>
    <row r="87" spans="1:21" ht="13.5">
      <c r="A87"/>
      <c r="C87"/>
      <c r="H87"/>
      <c r="I87"/>
      <c r="J87"/>
      <c r="K87"/>
      <c r="L87"/>
      <c r="M87"/>
      <c r="N87"/>
      <c r="O87"/>
      <c r="P87"/>
      <c r="Q87"/>
      <c r="R87"/>
      <c r="S87"/>
      <c r="T87"/>
      <c r="U87"/>
    </row>
    <row r="88" spans="1:21" ht="13.5">
      <c r="A88"/>
      <c r="C88"/>
      <c r="H88"/>
      <c r="I88"/>
      <c r="J88"/>
      <c r="K88"/>
      <c r="L88"/>
      <c r="M88"/>
      <c r="N88"/>
      <c r="O88"/>
      <c r="P88"/>
      <c r="Q88"/>
      <c r="R88"/>
      <c r="S88"/>
      <c r="T88"/>
      <c r="U88"/>
    </row>
  </sheetData>
  <sheetProtection/>
  <mergeCells count="29">
    <mergeCell ref="A1:C1"/>
    <mergeCell ref="A2:B2"/>
    <mergeCell ref="B4:C4"/>
    <mergeCell ref="D4:E4"/>
    <mergeCell ref="A13:A15"/>
    <mergeCell ref="B13:B15"/>
    <mergeCell ref="C13:C15"/>
    <mergeCell ref="D13:D15"/>
    <mergeCell ref="E13:F15"/>
    <mergeCell ref="G13:G15"/>
    <mergeCell ref="H13:K13"/>
    <mergeCell ref="L13:O13"/>
    <mergeCell ref="P13:P15"/>
    <mergeCell ref="Q13:T13"/>
    <mergeCell ref="U13:U15"/>
    <mergeCell ref="V13:V15"/>
    <mergeCell ref="H14:I14"/>
    <mergeCell ref="J14:K14"/>
    <mergeCell ref="L14:M14"/>
    <mergeCell ref="N14:O14"/>
    <mergeCell ref="Q14:R14"/>
    <mergeCell ref="S14:T14"/>
    <mergeCell ref="E39:F39"/>
    <mergeCell ref="E17:F17"/>
    <mergeCell ref="E18:F18"/>
    <mergeCell ref="E19:F19"/>
    <mergeCell ref="E22:F22"/>
    <mergeCell ref="E32:F32"/>
    <mergeCell ref="E34:F34"/>
  </mergeCells>
  <printOptions/>
  <pageMargins left="0.75" right="0.75" top="1" bottom="1" header="0.5" footer="0.5"/>
  <pageSetup fitToHeight="1" fitToWidth="1" orientation="landscape" scale="29"/>
</worksheet>
</file>

<file path=xl/worksheets/sheet11.xml><?xml version="1.0" encoding="utf-8"?>
<worksheet xmlns="http://schemas.openxmlformats.org/spreadsheetml/2006/main" xmlns:r="http://schemas.openxmlformats.org/officeDocument/2006/relationships">
  <sheetPr>
    <pageSetUpPr fitToPage="1"/>
  </sheetPr>
  <dimension ref="A1:AB36"/>
  <sheetViews>
    <sheetView zoomScale="70" zoomScaleNormal="70" workbookViewId="0" topLeftCell="A1">
      <pane xSplit="4" ySplit="2" topLeftCell="E3" activePane="bottomRight" state="frozen"/>
      <selection pane="topLeft" activeCell="A1" sqref="A1"/>
      <selection pane="topRight" activeCell="E1" sqref="E1"/>
      <selection pane="bottomLeft" activeCell="A2" sqref="A2"/>
      <selection pane="bottomRight" activeCell="O50" sqref="O50"/>
    </sheetView>
  </sheetViews>
  <sheetFormatPr defaultColWidth="8.8515625" defaultRowHeight="15"/>
  <cols>
    <col min="1" max="1" width="10.421875" style="1" bestFit="1" customWidth="1"/>
    <col min="2" max="2" width="10.28125" style="0" customWidth="1"/>
    <col min="3" max="3" width="10.421875" style="1" customWidth="1"/>
    <col min="4" max="4" width="12.28125" style="0" customWidth="1"/>
    <col min="5" max="5" width="11.28125" style="0" customWidth="1"/>
    <col min="6" max="6" width="107.28125" style="0" customWidth="1"/>
    <col min="7" max="7" width="24.28125" style="0" customWidth="1"/>
    <col min="8" max="9" width="10.7109375" style="6" customWidth="1"/>
    <col min="10" max="11" width="13.421875" style="24" customWidth="1"/>
    <col min="12" max="13" width="10.7109375" style="6" customWidth="1"/>
    <col min="14" max="16" width="13.421875" style="24" customWidth="1"/>
    <col min="17" max="18" width="10.7109375" style="6" customWidth="1"/>
    <col min="19" max="19" width="13.421875" style="24" customWidth="1"/>
    <col min="20" max="20" width="11.28125" style="24" customWidth="1"/>
    <col min="21" max="21" width="28.8515625" style="0" customWidth="1"/>
    <col min="22" max="22" width="43.140625" style="0" customWidth="1"/>
  </cols>
  <sheetData>
    <row r="1" spans="1:28" s="27" customFormat="1" ht="13.5">
      <c r="A1" s="486" t="s">
        <v>477</v>
      </c>
      <c r="B1" s="487"/>
      <c r="C1" s="488"/>
      <c r="D1" s="47"/>
      <c r="E1" s="47"/>
      <c r="H1" s="25"/>
      <c r="I1" s="25"/>
      <c r="J1" s="47"/>
      <c r="K1" s="47"/>
      <c r="L1" s="25"/>
      <c r="M1" s="25"/>
      <c r="N1" s="47"/>
      <c r="O1" s="47"/>
      <c r="P1" s="47"/>
      <c r="Q1" s="25"/>
      <c r="R1" s="25"/>
      <c r="S1" s="47"/>
      <c r="T1" s="47"/>
      <c r="U1" s="66"/>
      <c r="V1" s="25"/>
      <c r="W1" s="25"/>
      <c r="X1" s="25"/>
      <c r="Y1" s="25"/>
      <c r="Z1"/>
      <c r="AA1"/>
      <c r="AB1" s="68"/>
    </row>
    <row r="2" spans="1:28" s="27" customFormat="1" ht="13.5">
      <c r="A2" s="493" t="s">
        <v>346</v>
      </c>
      <c r="B2" s="494"/>
      <c r="C2" s="315">
        <f>'MS4 Stats'!B10</f>
        <v>100</v>
      </c>
      <c r="D2" s="47"/>
      <c r="E2" s="47"/>
      <c r="H2" s="25"/>
      <c r="I2" s="25"/>
      <c r="J2" s="47"/>
      <c r="K2" s="47"/>
      <c r="L2" s="25"/>
      <c r="M2" s="25"/>
      <c r="N2" s="47"/>
      <c r="O2" s="47"/>
      <c r="P2" s="47"/>
      <c r="Q2" s="25"/>
      <c r="R2" s="25"/>
      <c r="S2" s="47"/>
      <c r="T2" s="47"/>
      <c r="U2" s="66"/>
      <c r="V2" s="25"/>
      <c r="W2" s="25"/>
      <c r="X2" s="25"/>
      <c r="Y2" s="25"/>
      <c r="Z2"/>
      <c r="AA2"/>
      <c r="AB2" s="68"/>
    </row>
    <row r="3" spans="1:28" s="27" customFormat="1" ht="15" customHeight="1">
      <c r="A3"/>
      <c r="B3"/>
      <c r="C3"/>
      <c r="D3" s="3"/>
      <c r="E3"/>
      <c r="H3" s="25"/>
      <c r="I3" s="25"/>
      <c r="J3" s="47"/>
      <c r="K3" s="47"/>
      <c r="L3" s="25"/>
      <c r="M3" s="25"/>
      <c r="N3" s="47"/>
      <c r="O3" s="47"/>
      <c r="P3" s="47"/>
      <c r="Q3" s="25"/>
      <c r="R3" s="25"/>
      <c r="S3" s="47"/>
      <c r="T3" s="47"/>
      <c r="U3" s="66"/>
      <c r="V3" s="25"/>
      <c r="W3" s="25"/>
      <c r="X3" s="25"/>
      <c r="Y3" s="25"/>
      <c r="Z3"/>
      <c r="AA3"/>
      <c r="AB3" s="68"/>
    </row>
    <row r="4" spans="1:28" s="27" customFormat="1" ht="13.5">
      <c r="A4" s="316"/>
      <c r="B4" s="487" t="s">
        <v>479</v>
      </c>
      <c r="C4" s="487"/>
      <c r="D4" s="487" t="s">
        <v>259</v>
      </c>
      <c r="E4" s="488"/>
      <c r="H4" s="25"/>
      <c r="I4" s="25"/>
      <c r="J4"/>
      <c r="K4"/>
      <c r="L4" s="25"/>
      <c r="M4" s="25"/>
      <c r="N4"/>
      <c r="O4"/>
      <c r="P4"/>
      <c r="Q4" s="25"/>
      <c r="R4" s="25"/>
      <c r="S4"/>
      <c r="T4"/>
      <c r="U4" s="66"/>
      <c r="V4" s="25"/>
      <c r="W4" s="25"/>
      <c r="X4" s="25"/>
      <c r="Y4" s="25"/>
      <c r="Z4"/>
      <c r="AA4"/>
      <c r="AB4" s="68"/>
    </row>
    <row r="5" spans="1:28" s="27" customFormat="1" ht="13.5">
      <c r="A5" s="317"/>
      <c r="B5" s="103" t="s">
        <v>304</v>
      </c>
      <c r="C5" s="103" t="s">
        <v>305</v>
      </c>
      <c r="D5" s="103" t="s">
        <v>304</v>
      </c>
      <c r="E5" s="104" t="s">
        <v>305</v>
      </c>
      <c r="H5" s="25"/>
      <c r="I5" s="25"/>
      <c r="J5"/>
      <c r="K5"/>
      <c r="L5" s="25"/>
      <c r="M5" s="25"/>
      <c r="N5"/>
      <c r="O5"/>
      <c r="P5"/>
      <c r="Q5" s="25"/>
      <c r="R5" s="25"/>
      <c r="S5"/>
      <c r="T5"/>
      <c r="U5" s="66"/>
      <c r="V5" s="25"/>
      <c r="W5" s="25"/>
      <c r="X5" s="25"/>
      <c r="Y5" s="25"/>
      <c r="Z5"/>
      <c r="AA5"/>
      <c r="AB5" s="68"/>
    </row>
    <row r="6" spans="1:28" s="27" customFormat="1" ht="13.5">
      <c r="A6" s="318" t="s">
        <v>63</v>
      </c>
      <c r="B6" s="319">
        <f>Q17/5</f>
        <v>0</v>
      </c>
      <c r="C6" s="320">
        <f>R17/5</f>
        <v>0</v>
      </c>
      <c r="D6" s="321">
        <f>S17/5</f>
        <v>0</v>
      </c>
      <c r="E6" s="321">
        <f>T17/5</f>
        <v>0</v>
      </c>
      <c r="H6" s="25"/>
      <c r="I6" s="25"/>
      <c r="J6"/>
      <c r="K6"/>
      <c r="L6" s="25"/>
      <c r="M6" s="25"/>
      <c r="N6"/>
      <c r="O6"/>
      <c r="P6"/>
      <c r="Q6" s="25"/>
      <c r="R6" s="25"/>
      <c r="S6"/>
      <c r="T6"/>
      <c r="U6" s="66"/>
      <c r="V6" s="25"/>
      <c r="W6" s="25"/>
      <c r="X6" s="25"/>
      <c r="Y6" s="25"/>
      <c r="Z6"/>
      <c r="AA6"/>
      <c r="AB6" s="68"/>
    </row>
    <row r="7" spans="1:28" s="27" customFormat="1" ht="13.5">
      <c r="A7" s="322" t="s">
        <v>480</v>
      </c>
      <c r="B7" s="323">
        <f>Q15+Q16</f>
        <v>0</v>
      </c>
      <c r="C7" s="323">
        <f>R15+R16</f>
        <v>0</v>
      </c>
      <c r="D7" s="323">
        <f>S15+S16</f>
        <v>0</v>
      </c>
      <c r="E7" s="323">
        <f>T15+T16</f>
        <v>0</v>
      </c>
      <c r="H7" s="25"/>
      <c r="I7" s="25"/>
      <c r="J7"/>
      <c r="K7"/>
      <c r="L7" s="25"/>
      <c r="M7" s="25"/>
      <c r="N7"/>
      <c r="O7"/>
      <c r="P7"/>
      <c r="Q7" s="25"/>
      <c r="R7" s="25"/>
      <c r="S7"/>
      <c r="T7"/>
      <c r="U7" s="66"/>
      <c r="V7" s="25"/>
      <c r="W7" s="25"/>
      <c r="X7" s="25"/>
      <c r="Y7" s="25"/>
      <c r="Z7"/>
      <c r="AA7"/>
      <c r="AB7" s="68"/>
    </row>
    <row r="8" spans="1:28" s="27" customFormat="1" ht="13.5">
      <c r="A8" s="94" t="s">
        <v>62</v>
      </c>
      <c r="B8" s="95">
        <v>0</v>
      </c>
      <c r="C8" s="95">
        <v>0</v>
      </c>
      <c r="D8" s="96">
        <v>0</v>
      </c>
      <c r="E8" s="97">
        <v>0</v>
      </c>
      <c r="H8" s="25"/>
      <c r="I8" s="25"/>
      <c r="J8"/>
      <c r="K8"/>
      <c r="L8" s="25"/>
      <c r="M8" s="25"/>
      <c r="N8"/>
      <c r="O8"/>
      <c r="P8"/>
      <c r="Q8" s="25"/>
      <c r="R8" s="25"/>
      <c r="S8"/>
      <c r="T8"/>
      <c r="U8" s="66"/>
      <c r="V8" s="25"/>
      <c r="W8" s="25"/>
      <c r="X8" s="25"/>
      <c r="Y8" s="25"/>
      <c r="Z8"/>
      <c r="AA8"/>
      <c r="AB8" s="68"/>
    </row>
    <row r="9" spans="1:28" s="27" customFormat="1" ht="13.5">
      <c r="A9" s="324" t="s">
        <v>478</v>
      </c>
      <c r="B9" s="325">
        <f>Q18</f>
        <v>0</v>
      </c>
      <c r="C9" s="325">
        <f>R18</f>
        <v>0</v>
      </c>
      <c r="D9" s="326">
        <f>S18</f>
        <v>0</v>
      </c>
      <c r="E9" s="327">
        <f>T18</f>
        <v>0</v>
      </c>
      <c r="F9" s="22"/>
      <c r="H9" s="25"/>
      <c r="I9" s="25"/>
      <c r="J9"/>
      <c r="K9"/>
      <c r="L9" s="25"/>
      <c r="M9" s="25"/>
      <c r="N9"/>
      <c r="O9"/>
      <c r="P9"/>
      <c r="Q9" s="25"/>
      <c r="R9" s="25"/>
      <c r="S9"/>
      <c r="T9"/>
      <c r="U9" s="66"/>
      <c r="V9" s="25"/>
      <c r="W9" s="25"/>
      <c r="X9" s="25"/>
      <c r="Y9" s="25"/>
      <c r="Z9"/>
      <c r="AA9"/>
      <c r="AB9" s="68"/>
    </row>
    <row r="10" spans="1:28" ht="13.5">
      <c r="A10"/>
      <c r="B10" s="1"/>
      <c r="E10" s="1"/>
      <c r="F10" s="1"/>
      <c r="H10" s="24"/>
      <c r="I10" s="24"/>
      <c r="L10" s="24"/>
      <c r="M10" s="24"/>
      <c r="Q10" s="24"/>
      <c r="R10" s="24"/>
      <c r="V10" s="24"/>
      <c r="W10" s="24"/>
      <c r="X10" s="24"/>
      <c r="Y10" s="24"/>
      <c r="AB10" s="7"/>
    </row>
    <row r="11" spans="1:21" ht="13.5">
      <c r="A11" s="328"/>
      <c r="B11" s="328"/>
      <c r="C11" s="329"/>
      <c r="D11" s="328"/>
      <c r="E11" s="329"/>
      <c r="F11" s="329"/>
      <c r="G11" s="328"/>
      <c r="H11" s="725" t="s">
        <v>497</v>
      </c>
      <c r="I11" s="725"/>
      <c r="J11" s="725"/>
      <c r="K11" s="725"/>
      <c r="L11" s="725" t="s">
        <v>498</v>
      </c>
      <c r="M11" s="725"/>
      <c r="N11" s="725"/>
      <c r="O11" s="725"/>
      <c r="P11" s="330"/>
      <c r="Q11" s="578" t="s">
        <v>499</v>
      </c>
      <c r="R11" s="579"/>
      <c r="S11" s="579"/>
      <c r="T11" s="580"/>
      <c r="U11" s="328"/>
    </row>
    <row r="12" spans="1:21" ht="73.5">
      <c r="A12" s="308" t="s">
        <v>0</v>
      </c>
      <c r="B12" s="308" t="s">
        <v>29</v>
      </c>
      <c r="C12" s="309" t="s">
        <v>32</v>
      </c>
      <c r="D12" s="309" t="s">
        <v>110</v>
      </c>
      <c r="E12" s="530" t="s">
        <v>26</v>
      </c>
      <c r="F12" s="530"/>
      <c r="G12" s="303" t="s">
        <v>1</v>
      </c>
      <c r="H12" s="720" t="s">
        <v>259</v>
      </c>
      <c r="I12" s="721"/>
      <c r="J12" s="700" t="s">
        <v>450</v>
      </c>
      <c r="K12" s="702"/>
      <c r="L12" s="720" t="s">
        <v>321</v>
      </c>
      <c r="M12" s="721"/>
      <c r="N12" s="700" t="s">
        <v>450</v>
      </c>
      <c r="O12" s="702"/>
      <c r="P12" s="331" t="s">
        <v>264</v>
      </c>
      <c r="Q12" s="696" t="s">
        <v>326</v>
      </c>
      <c r="R12" s="697"/>
      <c r="S12" s="698" t="s">
        <v>472</v>
      </c>
      <c r="T12" s="699"/>
      <c r="U12" s="303" t="s">
        <v>58</v>
      </c>
    </row>
    <row r="13" spans="1:21" ht="15" customHeight="1">
      <c r="A13" s="308"/>
      <c r="B13" s="308"/>
      <c r="C13" s="309"/>
      <c r="D13" s="309"/>
      <c r="E13" s="303"/>
      <c r="F13" s="303"/>
      <c r="G13" s="303"/>
      <c r="H13" s="301" t="s">
        <v>304</v>
      </c>
      <c r="I13" s="301" t="s">
        <v>305</v>
      </c>
      <c r="J13" s="332" t="s">
        <v>304</v>
      </c>
      <c r="K13" s="333" t="s">
        <v>305</v>
      </c>
      <c r="L13" s="301" t="s">
        <v>304</v>
      </c>
      <c r="M13" s="301" t="s">
        <v>305</v>
      </c>
      <c r="N13" s="332" t="s">
        <v>304</v>
      </c>
      <c r="O13" s="333" t="s">
        <v>305</v>
      </c>
      <c r="P13" s="334"/>
      <c r="Q13" s="301" t="s">
        <v>304</v>
      </c>
      <c r="R13" s="301" t="s">
        <v>305</v>
      </c>
      <c r="S13" s="332" t="s">
        <v>304</v>
      </c>
      <c r="T13" s="333" t="s">
        <v>305</v>
      </c>
      <c r="U13" s="303"/>
    </row>
    <row r="14" spans="1:21" ht="13.5" customHeight="1">
      <c r="A14" s="335">
        <v>1</v>
      </c>
      <c r="B14" s="335"/>
      <c r="C14" s="336"/>
      <c r="D14" s="336"/>
      <c r="E14" s="722" t="s">
        <v>209</v>
      </c>
      <c r="F14" s="723"/>
      <c r="G14" s="723"/>
      <c r="H14" s="723"/>
      <c r="I14" s="723"/>
      <c r="J14" s="723"/>
      <c r="K14" s="723"/>
      <c r="L14" s="723"/>
      <c r="M14" s="723"/>
      <c r="N14" s="723"/>
      <c r="O14" s="723"/>
      <c r="P14" s="723"/>
      <c r="Q14" s="723"/>
      <c r="R14" s="723"/>
      <c r="S14" s="723"/>
      <c r="T14" s="723"/>
      <c r="U14" s="724"/>
    </row>
    <row r="15" spans="1:21" ht="27.75">
      <c r="A15" s="337">
        <v>1.1</v>
      </c>
      <c r="B15" s="337" t="s">
        <v>2</v>
      </c>
      <c r="C15" s="337" t="s">
        <v>59</v>
      </c>
      <c r="D15" s="338" t="s">
        <v>61</v>
      </c>
      <c r="E15" s="338"/>
      <c r="F15" s="339" t="s">
        <v>210</v>
      </c>
      <c r="G15" s="311" t="s">
        <v>211</v>
      </c>
      <c r="H15" s="311"/>
      <c r="I15" s="311"/>
      <c r="J15" s="340"/>
      <c r="K15" s="340"/>
      <c r="L15" s="311"/>
      <c r="M15" s="311"/>
      <c r="N15" s="340"/>
      <c r="O15" s="340"/>
      <c r="P15" s="341">
        <v>1</v>
      </c>
      <c r="Q15" s="342">
        <f>(((H15*$C$2)+J15)+((L15*$C$2)+N15))*P15</f>
        <v>0</v>
      </c>
      <c r="R15" s="342">
        <f>(((I15*$C$2)+K15)+((M15*$C$2)+O15))*P15</f>
        <v>0</v>
      </c>
      <c r="S15" s="343">
        <f aca="true" t="shared" si="0" ref="S15:T17">(H15)+(L15*P15)</f>
        <v>0</v>
      </c>
      <c r="T15" s="343">
        <f t="shared" si="0"/>
        <v>0</v>
      </c>
      <c r="U15" s="345" t="s">
        <v>580</v>
      </c>
    </row>
    <row r="16" spans="1:22" ht="111.75">
      <c r="A16" s="337">
        <v>1.2</v>
      </c>
      <c r="B16" s="337" t="s">
        <v>145</v>
      </c>
      <c r="C16" s="337" t="s">
        <v>59</v>
      </c>
      <c r="D16" s="338" t="s">
        <v>61</v>
      </c>
      <c r="E16" s="338"/>
      <c r="F16" s="344" t="s">
        <v>213</v>
      </c>
      <c r="G16" s="311" t="s">
        <v>212</v>
      </c>
      <c r="H16" s="342"/>
      <c r="I16" s="342"/>
      <c r="J16" s="343"/>
      <c r="K16" s="343"/>
      <c r="L16" s="342"/>
      <c r="M16" s="342"/>
      <c r="N16" s="343"/>
      <c r="O16" s="343"/>
      <c r="P16" s="343">
        <v>1</v>
      </c>
      <c r="Q16" s="342">
        <f>(((H16*$C$2)+J16)+((L16*$C$2)+N16))*P16</f>
        <v>0</v>
      </c>
      <c r="R16" s="342">
        <f>(((I16*$C$2)+K16)+((M16*$C$2)+O16))*P16</f>
        <v>0</v>
      </c>
      <c r="S16" s="343">
        <f t="shared" si="0"/>
        <v>0</v>
      </c>
      <c r="T16" s="343">
        <f t="shared" si="0"/>
        <v>0</v>
      </c>
      <c r="U16" s="345" t="s">
        <v>234</v>
      </c>
      <c r="V16" s="7" t="s">
        <v>581</v>
      </c>
    </row>
    <row r="17" spans="1:21" ht="13.5">
      <c r="A17" s="337">
        <v>1.3</v>
      </c>
      <c r="B17" s="337" t="s">
        <v>145</v>
      </c>
      <c r="C17" s="337"/>
      <c r="D17" s="338" t="s">
        <v>63</v>
      </c>
      <c r="E17" s="338"/>
      <c r="F17" s="346" t="s">
        <v>215</v>
      </c>
      <c r="G17" s="311" t="s">
        <v>214</v>
      </c>
      <c r="H17" s="311"/>
      <c r="I17" s="311"/>
      <c r="J17" s="347"/>
      <c r="K17" s="347"/>
      <c r="L17" s="311"/>
      <c r="M17" s="311"/>
      <c r="N17" s="347"/>
      <c r="O17" s="347"/>
      <c r="P17" s="347">
        <v>5</v>
      </c>
      <c r="Q17" s="342">
        <f>(((H17*$C$2)+J17)+((L17*$C$2)+N17))*P17</f>
        <v>0</v>
      </c>
      <c r="R17" s="342">
        <f>(((I17*$C$2)+K17)+((M17*$C$2)+O17))*P17</f>
        <v>0</v>
      </c>
      <c r="S17" s="343">
        <f t="shared" si="0"/>
        <v>0</v>
      </c>
      <c r="T17" s="343">
        <f t="shared" si="0"/>
        <v>0</v>
      </c>
      <c r="U17" s="311"/>
    </row>
    <row r="18" spans="1:21" ht="13.5">
      <c r="A18" s="348"/>
      <c r="B18" s="348"/>
      <c r="C18" s="348"/>
      <c r="D18" s="348"/>
      <c r="E18" s="348"/>
      <c r="F18" s="348"/>
      <c r="G18" s="348"/>
      <c r="H18" s="349"/>
      <c r="I18" s="349"/>
      <c r="J18" s="350"/>
      <c r="K18" s="350"/>
      <c r="L18" s="349"/>
      <c r="M18" s="349"/>
      <c r="N18" s="350"/>
      <c r="O18" s="350"/>
      <c r="P18" s="351" t="s">
        <v>332</v>
      </c>
      <c r="Q18" s="352">
        <f>SUM(Q15:Q17)</f>
        <v>0</v>
      </c>
      <c r="R18" s="352">
        <f>SUM(R15:R17)</f>
        <v>0</v>
      </c>
      <c r="S18" s="352">
        <f>SUM(S15:S17)</f>
        <v>0</v>
      </c>
      <c r="T18" s="353">
        <f>SUM(T5:T17)</f>
        <v>0</v>
      </c>
      <c r="U18" s="311"/>
    </row>
    <row r="23" spans="1:20" ht="13.5">
      <c r="A23"/>
      <c r="C23"/>
      <c r="H23"/>
      <c r="I23"/>
      <c r="J23"/>
      <c r="K23"/>
      <c r="L23"/>
      <c r="M23"/>
      <c r="N23"/>
      <c r="O23"/>
      <c r="P23"/>
      <c r="Q23"/>
      <c r="R23"/>
      <c r="S23"/>
      <c r="T23"/>
    </row>
    <row r="24" spans="1:20" ht="13.5">
      <c r="A24"/>
      <c r="C24"/>
      <c r="H24"/>
      <c r="I24"/>
      <c r="J24"/>
      <c r="K24"/>
      <c r="L24"/>
      <c r="M24"/>
      <c r="N24"/>
      <c r="O24"/>
      <c r="P24"/>
      <c r="Q24"/>
      <c r="R24"/>
      <c r="S24"/>
      <c r="T24"/>
    </row>
    <row r="25" spans="1:20" ht="13.5">
      <c r="A25"/>
      <c r="C25"/>
      <c r="H25"/>
      <c r="I25"/>
      <c r="J25"/>
      <c r="K25"/>
      <c r="L25"/>
      <c r="M25"/>
      <c r="N25"/>
      <c r="O25"/>
      <c r="P25"/>
      <c r="Q25"/>
      <c r="R25"/>
      <c r="S25"/>
      <c r="T25"/>
    </row>
    <row r="26" spans="1:20" ht="13.5">
      <c r="A26"/>
      <c r="C26"/>
      <c r="H26"/>
      <c r="I26"/>
      <c r="J26"/>
      <c r="K26"/>
      <c r="L26"/>
      <c r="M26"/>
      <c r="N26"/>
      <c r="O26"/>
      <c r="P26"/>
      <c r="Q26"/>
      <c r="R26"/>
      <c r="S26"/>
      <c r="T26"/>
    </row>
    <row r="27" spans="1:20" ht="13.5">
      <c r="A27"/>
      <c r="C27"/>
      <c r="H27"/>
      <c r="I27"/>
      <c r="J27"/>
      <c r="K27"/>
      <c r="L27"/>
      <c r="M27"/>
      <c r="N27"/>
      <c r="O27"/>
      <c r="P27"/>
      <c r="Q27"/>
      <c r="R27"/>
      <c r="S27"/>
      <c r="T27"/>
    </row>
    <row r="28" spans="1:20" ht="13.5">
      <c r="A28"/>
      <c r="C28"/>
      <c r="H28"/>
      <c r="I28"/>
      <c r="J28"/>
      <c r="K28"/>
      <c r="L28"/>
      <c r="M28"/>
      <c r="N28"/>
      <c r="O28"/>
      <c r="P28"/>
      <c r="Q28"/>
      <c r="R28"/>
      <c r="S28"/>
      <c r="T28"/>
    </row>
    <row r="29" spans="1:20" ht="13.5">
      <c r="A29"/>
      <c r="C29"/>
      <c r="H29"/>
      <c r="I29"/>
      <c r="J29"/>
      <c r="K29"/>
      <c r="L29"/>
      <c r="M29"/>
      <c r="N29"/>
      <c r="O29"/>
      <c r="P29"/>
      <c r="Q29"/>
      <c r="R29"/>
      <c r="S29"/>
      <c r="T29"/>
    </row>
    <row r="32" spans="1:20" ht="13.5">
      <c r="A32"/>
      <c r="C32"/>
      <c r="H32"/>
      <c r="I32"/>
      <c r="J32"/>
      <c r="K32"/>
      <c r="L32"/>
      <c r="M32"/>
      <c r="N32"/>
      <c r="O32"/>
      <c r="P32"/>
      <c r="Q32"/>
      <c r="R32"/>
      <c r="S32"/>
      <c r="T32"/>
    </row>
    <row r="33" spans="1:20" ht="13.5">
      <c r="A33"/>
      <c r="C33"/>
      <c r="H33"/>
      <c r="I33"/>
      <c r="J33"/>
      <c r="K33"/>
      <c r="L33"/>
      <c r="M33"/>
      <c r="N33"/>
      <c r="O33"/>
      <c r="P33"/>
      <c r="Q33"/>
      <c r="R33"/>
      <c r="S33"/>
      <c r="T33"/>
    </row>
    <row r="34" spans="1:20" ht="13.5">
      <c r="A34"/>
      <c r="C34"/>
      <c r="H34"/>
      <c r="I34"/>
      <c r="J34"/>
      <c r="K34"/>
      <c r="L34"/>
      <c r="M34"/>
      <c r="N34"/>
      <c r="O34"/>
      <c r="P34"/>
      <c r="Q34"/>
      <c r="R34"/>
      <c r="S34"/>
      <c r="T34"/>
    </row>
    <row r="35" spans="1:20" ht="13.5">
      <c r="A35"/>
      <c r="C35"/>
      <c r="H35"/>
      <c r="I35"/>
      <c r="J35"/>
      <c r="K35"/>
      <c r="L35"/>
      <c r="M35"/>
      <c r="N35"/>
      <c r="O35"/>
      <c r="P35"/>
      <c r="Q35"/>
      <c r="R35"/>
      <c r="S35"/>
      <c r="T35"/>
    </row>
    <row r="36" spans="1:20" ht="13.5">
      <c r="A36"/>
      <c r="C36"/>
      <c r="H36"/>
      <c r="I36"/>
      <c r="J36"/>
      <c r="K36"/>
      <c r="L36"/>
      <c r="M36"/>
      <c r="N36"/>
      <c r="O36"/>
      <c r="P36"/>
      <c r="Q36"/>
      <c r="R36"/>
      <c r="S36"/>
      <c r="T36"/>
    </row>
  </sheetData>
  <sheetProtection/>
  <mergeCells count="15">
    <mergeCell ref="A1:C1"/>
    <mergeCell ref="A2:B2"/>
    <mergeCell ref="B4:C4"/>
    <mergeCell ref="D4:E4"/>
    <mergeCell ref="H11:K11"/>
    <mergeCell ref="L11:O11"/>
    <mergeCell ref="L12:M12"/>
    <mergeCell ref="N12:O12"/>
    <mergeCell ref="Q12:R12"/>
    <mergeCell ref="S12:T12"/>
    <mergeCell ref="E14:U14"/>
    <mergeCell ref="Q11:T11"/>
    <mergeCell ref="E12:F12"/>
    <mergeCell ref="H12:I12"/>
    <mergeCell ref="J12:K12"/>
  </mergeCells>
  <printOptions/>
  <pageMargins left="0.7" right="0.7" top="0.75" bottom="0.75" header="0.3" footer="0.3"/>
  <pageSetup fitToHeight="1" fitToWidth="1" orientation="landscape" scale="53"/>
</worksheet>
</file>

<file path=xl/worksheets/sheet12.xml><?xml version="1.0" encoding="utf-8"?>
<worksheet xmlns="http://schemas.openxmlformats.org/spreadsheetml/2006/main" xmlns:r="http://schemas.openxmlformats.org/officeDocument/2006/relationships">
  <dimension ref="A1:D29"/>
  <sheetViews>
    <sheetView workbookViewId="0" topLeftCell="A1">
      <selection activeCell="D5" sqref="D5"/>
    </sheetView>
  </sheetViews>
  <sheetFormatPr defaultColWidth="12.57421875" defaultRowHeight="15"/>
  <cols>
    <col min="1" max="1" width="55.421875" style="5" bestFit="1" customWidth="1"/>
    <col min="2" max="2" width="18.00390625" style="0" customWidth="1"/>
    <col min="3" max="3" width="19.421875" style="0" bestFit="1" customWidth="1"/>
    <col min="4" max="4" width="15.28125" style="0" customWidth="1"/>
    <col min="5" max="16384" width="12.421875" style="0" customWidth="1"/>
  </cols>
  <sheetData>
    <row r="1" spans="1:4" ht="21.75" customHeight="1">
      <c r="A1" s="12"/>
      <c r="B1" s="13" t="s">
        <v>530</v>
      </c>
      <c r="C1" s="13" t="s">
        <v>531</v>
      </c>
      <c r="D1" s="13" t="s">
        <v>532</v>
      </c>
    </row>
    <row r="2" spans="1:4" ht="21.75" customHeight="1">
      <c r="A2" s="12"/>
      <c r="B2" s="14" t="s">
        <v>235</v>
      </c>
      <c r="C2" s="14" t="s">
        <v>236</v>
      </c>
      <c r="D2" s="14" t="s">
        <v>237</v>
      </c>
    </row>
    <row r="3" spans="1:4" ht="21.75" customHeight="1">
      <c r="A3" s="12" t="s">
        <v>238</v>
      </c>
      <c r="B3" s="15">
        <v>5000</v>
      </c>
      <c r="C3" s="15">
        <v>15000</v>
      </c>
      <c r="D3" s="15">
        <v>50000</v>
      </c>
    </row>
    <row r="4" spans="1:4" ht="21.75" customHeight="1">
      <c r="A4" s="12" t="s">
        <v>467</v>
      </c>
      <c r="B4" s="15">
        <v>2000</v>
      </c>
      <c r="C4" s="15">
        <v>6000</v>
      </c>
      <c r="D4" s="15">
        <v>20000</v>
      </c>
    </row>
    <row r="5" spans="1:4" ht="21.75" customHeight="1">
      <c r="A5" s="12" t="s">
        <v>239</v>
      </c>
      <c r="B5" s="15">
        <v>2000</v>
      </c>
      <c r="C5" s="15">
        <v>14000</v>
      </c>
      <c r="D5" s="15">
        <v>45000</v>
      </c>
    </row>
    <row r="6" spans="1:4" ht="21.75" customHeight="1">
      <c r="A6" s="12" t="s">
        <v>240</v>
      </c>
      <c r="B6" s="15">
        <v>5000</v>
      </c>
      <c r="C6" s="15">
        <v>10000</v>
      </c>
      <c r="D6" s="15">
        <v>25000</v>
      </c>
    </row>
    <row r="7" spans="1:4" ht="21.75" customHeight="1">
      <c r="A7" s="12" t="s">
        <v>241</v>
      </c>
      <c r="B7" s="16">
        <v>500</v>
      </c>
      <c r="C7" s="15">
        <v>1500</v>
      </c>
      <c r="D7" s="15">
        <v>3000</v>
      </c>
    </row>
    <row r="8" spans="1:4" ht="21.75" customHeight="1">
      <c r="A8" s="12" t="s">
        <v>242</v>
      </c>
      <c r="B8" s="16">
        <v>25</v>
      </c>
      <c r="C8" s="16">
        <v>200</v>
      </c>
      <c r="D8" s="15">
        <v>500</v>
      </c>
    </row>
    <row r="9" spans="1:4" ht="21.75" customHeight="1">
      <c r="A9" s="12" t="s">
        <v>243</v>
      </c>
      <c r="B9" s="17">
        <f>B8*10</f>
        <v>250</v>
      </c>
      <c r="C9" s="15">
        <f>C8*10</f>
        <v>2000</v>
      </c>
      <c r="D9" s="15">
        <f>D8*10</f>
        <v>5000</v>
      </c>
    </row>
    <row r="10" spans="1:4" ht="21.75" customHeight="1">
      <c r="A10" s="12" t="s">
        <v>468</v>
      </c>
      <c r="B10" s="64">
        <v>100</v>
      </c>
      <c r="C10" s="64">
        <v>100</v>
      </c>
      <c r="D10" s="64">
        <v>100</v>
      </c>
    </row>
    <row r="11" spans="1:4" ht="21.75" customHeight="1">
      <c r="A11" s="12" t="s">
        <v>244</v>
      </c>
      <c r="B11" s="17">
        <f>B9*0.2</f>
        <v>50</v>
      </c>
      <c r="C11" s="17">
        <f>C9*0.2</f>
        <v>400</v>
      </c>
      <c r="D11" s="15">
        <f>D9*0.2</f>
        <v>1000</v>
      </c>
    </row>
    <row r="12" spans="1:4" ht="21.75" customHeight="1">
      <c r="A12" s="12" t="s">
        <v>245</v>
      </c>
      <c r="B12" s="17">
        <f>B8*3</f>
        <v>75</v>
      </c>
      <c r="C12" s="17">
        <f>C8*3</f>
        <v>600</v>
      </c>
      <c r="D12" s="15">
        <f>D8*3</f>
        <v>1500</v>
      </c>
    </row>
    <row r="13" spans="1:4" ht="21.75" customHeight="1">
      <c r="A13" s="12" t="s">
        <v>246</v>
      </c>
      <c r="B13" s="16" t="s">
        <v>247</v>
      </c>
      <c r="C13" s="16" t="s">
        <v>248</v>
      </c>
      <c r="D13" s="16" t="s">
        <v>249</v>
      </c>
    </row>
    <row r="14" spans="1:4" ht="21.75" customHeight="1">
      <c r="A14" s="12"/>
      <c r="B14" s="16"/>
      <c r="C14" s="16"/>
      <c r="D14" s="16"/>
    </row>
    <row r="15" spans="1:4" ht="21.75" customHeight="1">
      <c r="A15" s="12" t="s">
        <v>250</v>
      </c>
      <c r="B15" s="18">
        <v>0.2</v>
      </c>
      <c r="C15" s="18">
        <v>0.3</v>
      </c>
      <c r="D15" s="18">
        <v>0.4</v>
      </c>
    </row>
    <row r="16" spans="1:4" ht="21.75" customHeight="1">
      <c r="A16" s="12" t="s">
        <v>251</v>
      </c>
      <c r="B16" s="17">
        <f>B9*0.2</f>
        <v>50</v>
      </c>
      <c r="C16" s="17">
        <f>C9*0.3</f>
        <v>600</v>
      </c>
      <c r="D16" s="19">
        <f>D9*0.4</f>
        <v>2000</v>
      </c>
    </row>
    <row r="17" spans="1:4" ht="21.75" customHeight="1">
      <c r="A17" s="12"/>
      <c r="B17" s="17"/>
      <c r="C17" s="17"/>
      <c r="D17" s="19"/>
    </row>
    <row r="18" spans="1:4" ht="21.75" customHeight="1">
      <c r="A18" s="20" t="s">
        <v>252</v>
      </c>
      <c r="B18" s="18">
        <v>0.05</v>
      </c>
      <c r="C18" s="18">
        <v>0.1</v>
      </c>
      <c r="D18" s="18">
        <v>0.15</v>
      </c>
    </row>
    <row r="19" spans="1:4" ht="21.75" customHeight="1">
      <c r="A19" s="20" t="s">
        <v>253</v>
      </c>
      <c r="B19" s="17">
        <f>B8*0.05</f>
        <v>1.25</v>
      </c>
      <c r="C19" s="17">
        <f>C8*0.1</f>
        <v>20</v>
      </c>
      <c r="D19" s="17">
        <f>D8*0.15</f>
        <v>75</v>
      </c>
    </row>
    <row r="20" spans="1:4" ht="21.75" customHeight="1">
      <c r="A20" s="20"/>
      <c r="B20" s="17"/>
      <c r="C20" s="17"/>
      <c r="D20" s="17"/>
    </row>
    <row r="21" spans="1:4" ht="42.75" customHeight="1">
      <c r="A21" s="20" t="s">
        <v>254</v>
      </c>
      <c r="B21" s="17">
        <v>5</v>
      </c>
      <c r="C21" s="17">
        <f>C8*0.25</f>
        <v>50</v>
      </c>
      <c r="D21" s="17">
        <v>150</v>
      </c>
    </row>
    <row r="22" spans="1:4" ht="42.75" customHeight="1">
      <c r="A22" s="20" t="s">
        <v>255</v>
      </c>
      <c r="B22" s="17">
        <v>20</v>
      </c>
      <c r="C22" s="17">
        <f>C8*0.75</f>
        <v>150</v>
      </c>
      <c r="D22" s="17">
        <v>350</v>
      </c>
    </row>
    <row r="23" spans="1:4" ht="21.75" customHeight="1">
      <c r="A23" s="12" t="s">
        <v>474</v>
      </c>
      <c r="B23" s="17">
        <v>10</v>
      </c>
      <c r="C23" s="17">
        <v>75</v>
      </c>
      <c r="D23" s="17">
        <v>190</v>
      </c>
    </row>
    <row r="24" spans="1:4" ht="21.75" customHeight="1">
      <c r="A24" s="12" t="s">
        <v>256</v>
      </c>
      <c r="B24" s="16">
        <f>B23*2</f>
        <v>20</v>
      </c>
      <c r="C24" s="61">
        <f>C23*2</f>
        <v>150</v>
      </c>
      <c r="D24" s="61">
        <f>D23*2</f>
        <v>380</v>
      </c>
    </row>
    <row r="25" spans="1:4" ht="21.75" customHeight="1">
      <c r="A25" s="12" t="s">
        <v>257</v>
      </c>
      <c r="B25" s="16">
        <v>5</v>
      </c>
      <c r="C25" s="16">
        <v>20</v>
      </c>
      <c r="D25" s="16">
        <v>30</v>
      </c>
    </row>
    <row r="26" spans="1:4" ht="42.75" customHeight="1">
      <c r="A26" s="20" t="s">
        <v>258</v>
      </c>
      <c r="B26" s="16">
        <v>5</v>
      </c>
      <c r="C26" s="16">
        <v>10</v>
      </c>
      <c r="D26" s="16">
        <v>20</v>
      </c>
    </row>
    <row r="27" spans="1:4" ht="13.5">
      <c r="A27" s="12"/>
      <c r="B27" s="16"/>
      <c r="C27" s="16"/>
      <c r="D27" s="16"/>
    </row>
    <row r="28" spans="1:4" ht="13.5">
      <c r="A28" s="12"/>
      <c r="B28" s="16"/>
      <c r="C28" s="16"/>
      <c r="D28" s="16"/>
    </row>
    <row r="29" spans="1:4" ht="13.5">
      <c r="A29" s="12"/>
      <c r="B29" s="16"/>
      <c r="C29" s="16"/>
      <c r="D29" s="16"/>
    </row>
  </sheetData>
  <sheetProtection/>
  <printOption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dimension ref="A1:F11"/>
  <sheetViews>
    <sheetView workbookViewId="0" topLeftCell="A1">
      <selection activeCell="H39" sqref="H39"/>
    </sheetView>
  </sheetViews>
  <sheetFormatPr defaultColWidth="8.8515625" defaultRowHeight="15"/>
  <cols>
    <col min="1" max="1" width="33.28125" style="0" customWidth="1"/>
  </cols>
  <sheetData>
    <row r="1" spans="1:6" ht="13.5">
      <c r="A1" s="29"/>
      <c r="B1" s="29"/>
      <c r="C1" s="29" t="s">
        <v>333</v>
      </c>
      <c r="D1" s="29" t="s">
        <v>334</v>
      </c>
      <c r="E1" s="30"/>
      <c r="F1" s="31"/>
    </row>
    <row r="2" spans="1:6" ht="13.5">
      <c r="A2" s="32" t="s">
        <v>335</v>
      </c>
      <c r="B2" s="33">
        <v>50</v>
      </c>
      <c r="C2" s="32">
        <v>1</v>
      </c>
      <c r="D2" s="33">
        <f>B2/C2</f>
        <v>50</v>
      </c>
      <c r="E2" s="34" t="s">
        <v>336</v>
      </c>
      <c r="F2" s="35"/>
    </row>
    <row r="3" spans="1:6" ht="13.5">
      <c r="A3" s="32" t="s">
        <v>337</v>
      </c>
      <c r="B3" s="33">
        <v>57.5</v>
      </c>
      <c r="C3" s="32">
        <v>30</v>
      </c>
      <c r="D3" s="33">
        <f>B3/C3</f>
        <v>1.9166666666666667</v>
      </c>
      <c r="E3" s="36" t="s">
        <v>338</v>
      </c>
      <c r="F3" s="32"/>
    </row>
    <row r="4" spans="1:6" ht="13.5">
      <c r="A4" s="32" t="s">
        <v>339</v>
      </c>
      <c r="B4" s="33">
        <v>45.8</v>
      </c>
      <c r="C4" s="32">
        <v>50</v>
      </c>
      <c r="D4" s="33">
        <f>B4/C4</f>
        <v>0.9159999999999999</v>
      </c>
      <c r="E4" s="32" t="s">
        <v>340</v>
      </c>
      <c r="F4" s="32"/>
    </row>
    <row r="5" spans="1:6" ht="13.5">
      <c r="A5" s="32" t="s">
        <v>341</v>
      </c>
      <c r="B5" s="37">
        <v>469</v>
      </c>
      <c r="C5" s="32"/>
      <c r="D5" s="38"/>
      <c r="E5" s="32" t="s">
        <v>342</v>
      </c>
      <c r="F5" s="32"/>
    </row>
    <row r="6" spans="1:6" ht="13.5">
      <c r="A6" s="32" t="s">
        <v>343</v>
      </c>
      <c r="B6" s="39">
        <v>78.64</v>
      </c>
      <c r="C6" s="32">
        <v>20</v>
      </c>
      <c r="D6" s="33">
        <f>B6/C6</f>
        <v>3.932</v>
      </c>
      <c r="E6" s="32" t="s">
        <v>344</v>
      </c>
      <c r="F6" s="32"/>
    </row>
    <row r="7" spans="1:6" ht="13.5">
      <c r="A7" s="32" t="s">
        <v>345</v>
      </c>
      <c r="B7" s="39">
        <v>59.82</v>
      </c>
      <c r="C7" s="32"/>
      <c r="D7" s="38"/>
      <c r="E7" s="40"/>
      <c r="F7" s="32"/>
    </row>
    <row r="8" spans="1:6" ht="13.5">
      <c r="A8" s="32"/>
      <c r="B8" s="32"/>
      <c r="C8" s="32"/>
      <c r="D8" s="33">
        <f>SUM(D2:D7)</f>
        <v>56.76466666666666</v>
      </c>
      <c r="E8" s="40"/>
      <c r="F8" s="32"/>
    </row>
    <row r="9" spans="1:6" ht="13.5">
      <c r="A9" s="32"/>
      <c r="B9" s="32"/>
      <c r="C9" s="32"/>
      <c r="D9" s="32"/>
      <c r="E9" s="40"/>
      <c r="F9" s="32"/>
    </row>
    <row r="10" spans="1:6" ht="13.5">
      <c r="A10" s="32"/>
      <c r="B10" s="32"/>
      <c r="C10" s="32"/>
      <c r="D10" s="32"/>
      <c r="E10" s="40"/>
      <c r="F10" s="32"/>
    </row>
    <row r="11" spans="1:6" ht="13.5">
      <c r="A11" s="32"/>
      <c r="B11" s="32"/>
      <c r="C11" s="32"/>
      <c r="D11" s="32"/>
      <c r="E11" s="40"/>
      <c r="F11" s="32"/>
    </row>
  </sheetData>
  <sheetProtection/>
  <hyperlinks>
    <hyperlink ref="E3" r:id="rId1" display="http://www.benmeadows.com/chemets-ammonia-water-test-kit_s_16806-1/"/>
  </hyperlinks>
  <printOption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dimension ref="A1:C10"/>
  <sheetViews>
    <sheetView workbookViewId="0" topLeftCell="A1">
      <selection activeCell="A28" sqref="A28"/>
    </sheetView>
  </sheetViews>
  <sheetFormatPr defaultColWidth="8.8515625" defaultRowHeight="15"/>
  <cols>
    <col min="1" max="1" width="54.140625" style="0" customWidth="1"/>
    <col min="2" max="2" width="36.28125" style="0" customWidth="1"/>
    <col min="3" max="3" width="33.28125" style="0" customWidth="1"/>
  </cols>
  <sheetData>
    <row r="1" spans="1:2" ht="13.5">
      <c r="A1" s="4" t="s">
        <v>188</v>
      </c>
      <c r="B1" s="4" t="s">
        <v>193</v>
      </c>
    </row>
    <row r="2" spans="1:3" ht="42">
      <c r="A2" t="s">
        <v>189</v>
      </c>
      <c r="B2" s="7" t="s">
        <v>207</v>
      </c>
      <c r="C2" s="7" t="s">
        <v>196</v>
      </c>
    </row>
    <row r="3" spans="1:2" ht="13.5">
      <c r="A3" t="s">
        <v>190</v>
      </c>
      <c r="B3" t="s">
        <v>174</v>
      </c>
    </row>
    <row r="4" spans="1:2" ht="42">
      <c r="A4" t="s">
        <v>191</v>
      </c>
      <c r="B4" s="7" t="s">
        <v>205</v>
      </c>
    </row>
    <row r="5" spans="1:2" ht="42">
      <c r="A5" t="s">
        <v>192</v>
      </c>
      <c r="B5" s="7" t="s">
        <v>202</v>
      </c>
    </row>
    <row r="6" spans="1:2" ht="13.5">
      <c r="A6" t="s">
        <v>194</v>
      </c>
      <c r="B6" s="7" t="s">
        <v>206</v>
      </c>
    </row>
    <row r="7" spans="1:2" ht="13.5">
      <c r="A7" t="s">
        <v>198</v>
      </c>
      <c r="B7" t="s">
        <v>199</v>
      </c>
    </row>
    <row r="8" spans="1:2" ht="13.5">
      <c r="A8" t="s">
        <v>195</v>
      </c>
      <c r="B8" t="s">
        <v>197</v>
      </c>
    </row>
    <row r="9" spans="1:2" ht="13.5">
      <c r="A9" t="s">
        <v>200</v>
      </c>
      <c r="B9" t="s">
        <v>203</v>
      </c>
    </row>
    <row r="10" spans="1:2" ht="13.5">
      <c r="A10" t="s">
        <v>201</v>
      </c>
      <c r="B10" t="s">
        <v>204</v>
      </c>
    </row>
  </sheetData>
  <sheetProtection/>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Y52"/>
  <sheetViews>
    <sheetView zoomScale="70" zoomScaleNormal="70" workbookViewId="0" topLeftCell="A1">
      <selection activeCell="H26" sqref="H26:H29"/>
    </sheetView>
  </sheetViews>
  <sheetFormatPr defaultColWidth="8.8515625" defaultRowHeight="15"/>
  <cols>
    <col min="1" max="1" width="10.421875" style="0" bestFit="1" customWidth="1"/>
    <col min="2" max="2" width="10.421875" style="0" customWidth="1"/>
    <col min="3" max="3" width="10.8515625" style="0" customWidth="1"/>
    <col min="4" max="4" width="12.28125" style="0" customWidth="1"/>
    <col min="5" max="5" width="9.28125" style="0" customWidth="1"/>
    <col min="6" max="6" width="4.140625" style="0" customWidth="1"/>
    <col min="7" max="7" width="56.28125" style="0" customWidth="1"/>
    <col min="8" max="8" width="11.7109375" style="0" customWidth="1"/>
    <col min="9" max="9" width="14.28125" style="0" customWidth="1"/>
    <col min="10" max="11" width="8.8515625" style="0" customWidth="1"/>
    <col min="12" max="12" width="10.421875" style="0" bestFit="1" customWidth="1"/>
    <col min="13" max="13" width="8.8515625" style="0" customWidth="1"/>
    <col min="14" max="14" width="11.421875" style="0" customWidth="1"/>
    <col min="15" max="17" width="8.8515625" style="0" customWidth="1"/>
    <col min="18" max="18" width="10.00390625" style="0" customWidth="1"/>
    <col min="19" max="22" width="8.8515625" style="0" customWidth="1"/>
    <col min="23" max="23" width="50.8515625" style="0" customWidth="1"/>
    <col min="24" max="24" width="55.421875" style="0" bestFit="1" customWidth="1"/>
  </cols>
  <sheetData>
    <row r="1" spans="1:3" s="47" customFormat="1" ht="21.75" customHeight="1">
      <c r="A1" s="486" t="s">
        <v>477</v>
      </c>
      <c r="B1" s="487"/>
      <c r="C1" s="488"/>
    </row>
    <row r="2" spans="1:3" s="47" customFormat="1" ht="21.75" customHeight="1">
      <c r="A2" s="460" t="s">
        <v>346</v>
      </c>
      <c r="B2" s="461"/>
      <c r="C2" s="69">
        <f>'MS4 Stats'!B10</f>
        <v>100</v>
      </c>
    </row>
    <row r="3" spans="1:4" s="47" customFormat="1" ht="21.75" customHeight="1">
      <c r="A3" s="460" t="s">
        <v>465</v>
      </c>
      <c r="B3" s="461"/>
      <c r="C3" s="70">
        <f>'MS4 Stats'!C3</f>
        <v>15000</v>
      </c>
      <c r="D3" s="60"/>
    </row>
    <row r="4" spans="1:4" s="47" customFormat="1" ht="21.75" customHeight="1">
      <c r="A4" s="493" t="s">
        <v>466</v>
      </c>
      <c r="B4" s="494"/>
      <c r="C4" s="71">
        <f>'MS4 Stats'!C4</f>
        <v>6000</v>
      </c>
      <c r="D4" s="60"/>
    </row>
    <row r="5" ht="21.75" customHeight="1">
      <c r="D5" s="3"/>
    </row>
    <row r="6" spans="1:5" ht="21.75" customHeight="1">
      <c r="A6" s="72"/>
      <c r="B6" s="487" t="s">
        <v>479</v>
      </c>
      <c r="C6" s="487"/>
      <c r="D6" s="487" t="s">
        <v>259</v>
      </c>
      <c r="E6" s="488"/>
    </row>
    <row r="7" spans="1:5" ht="21.75" customHeight="1">
      <c r="A7" s="102"/>
      <c r="B7" s="103" t="s">
        <v>304</v>
      </c>
      <c r="C7" s="103" t="s">
        <v>305</v>
      </c>
      <c r="D7" s="103" t="s">
        <v>304</v>
      </c>
      <c r="E7" s="104" t="s">
        <v>305</v>
      </c>
    </row>
    <row r="8" spans="1:7" ht="21.75" customHeight="1">
      <c r="A8" s="85" t="s">
        <v>63</v>
      </c>
      <c r="B8" s="86">
        <f>ROUND(((N22+N26)*C2),3-(INT(LOG(((N22+N26)*C2))+1)))</f>
        <v>1400</v>
      </c>
      <c r="C8" s="87">
        <f>ROUND((((O24+O26)*C2)+Q24),3-(INT(LOG((((O24+O26)*C2)+Q24))+1)))</f>
        <v>9300</v>
      </c>
      <c r="D8" s="88">
        <f>ROUND((N22+N26),3-(INT(LOG((N22+N26))+1)))</f>
        <v>14</v>
      </c>
      <c r="E8" s="89">
        <f>ROUND((O24+O26),3-(INT(LOG((O24+O26))+1)))</f>
        <v>92</v>
      </c>
      <c r="G8" s="422"/>
    </row>
    <row r="9" spans="1:5" ht="21.75" customHeight="1">
      <c r="A9" s="90" t="s">
        <v>480</v>
      </c>
      <c r="B9" s="91">
        <f>ROUND((J20*C2),3-(INT(LOG((J20*C2))+1)))</f>
        <v>2400</v>
      </c>
      <c r="C9" s="91">
        <f>ROUND((K20*C2),3-(INT(LOG((K20*C2))+1)))</f>
        <v>3000</v>
      </c>
      <c r="D9" s="92">
        <f>ROUND(J20,3-(INT(LOG(J20))+1))</f>
        <v>24</v>
      </c>
      <c r="E9" s="92">
        <f>ROUND(K20,3-(INT(LOG(K20))+1))</f>
        <v>30</v>
      </c>
    </row>
    <row r="10" spans="1:5" ht="21.75" customHeight="1">
      <c r="A10" s="94" t="s">
        <v>62</v>
      </c>
      <c r="B10" s="95">
        <v>0</v>
      </c>
      <c r="C10" s="95">
        <f>0</f>
        <v>0</v>
      </c>
      <c r="D10" s="96">
        <v>0</v>
      </c>
      <c r="E10" s="97">
        <v>0</v>
      </c>
    </row>
    <row r="11" spans="1:5" ht="21.75" customHeight="1">
      <c r="A11" s="98" t="s">
        <v>478</v>
      </c>
      <c r="B11" s="99">
        <f>S30</f>
        <v>11200</v>
      </c>
      <c r="C11" s="99">
        <f>T30</f>
        <v>73800</v>
      </c>
      <c r="D11" s="100">
        <f>U30</f>
        <v>112</v>
      </c>
      <c r="E11" s="101">
        <f>V30</f>
        <v>730</v>
      </c>
    </row>
    <row r="12" ht="13.5">
      <c r="D12" s="3"/>
    </row>
    <row r="13" ht="21.75" customHeight="1">
      <c r="D13" s="3"/>
    </row>
    <row r="14" ht="13.5">
      <c r="D14" s="3"/>
    </row>
    <row r="15" ht="13.5">
      <c r="D15" s="3"/>
    </row>
    <row r="16" spans="1:24" ht="97.5" customHeight="1">
      <c r="A16" s="472" t="s">
        <v>0</v>
      </c>
      <c r="B16" s="475" t="s">
        <v>29</v>
      </c>
      <c r="C16" s="478" t="s">
        <v>32</v>
      </c>
      <c r="D16" s="478" t="s">
        <v>110</v>
      </c>
      <c r="E16" s="478" t="s">
        <v>70</v>
      </c>
      <c r="F16" s="511" t="s">
        <v>360</v>
      </c>
      <c r="G16" s="512"/>
      <c r="H16" s="463" t="s">
        <v>1</v>
      </c>
      <c r="I16" s="508" t="s">
        <v>361</v>
      </c>
      <c r="J16" s="481" t="s">
        <v>497</v>
      </c>
      <c r="K16" s="482"/>
      <c r="L16" s="482"/>
      <c r="M16" s="483"/>
      <c r="N16" s="481" t="s">
        <v>498</v>
      </c>
      <c r="O16" s="482"/>
      <c r="P16" s="482"/>
      <c r="Q16" s="482"/>
      <c r="R16" s="483"/>
      <c r="S16" s="481" t="s">
        <v>499</v>
      </c>
      <c r="T16" s="482"/>
      <c r="U16" s="482"/>
      <c r="V16" s="483"/>
      <c r="W16" s="463" t="s">
        <v>58</v>
      </c>
      <c r="X16" s="466" t="s">
        <v>261</v>
      </c>
    </row>
    <row r="17" spans="1:24" ht="34.5" customHeight="1">
      <c r="A17" s="473"/>
      <c r="B17" s="476"/>
      <c r="C17" s="479"/>
      <c r="D17" s="479"/>
      <c r="E17" s="479"/>
      <c r="F17" s="513"/>
      <c r="G17" s="514"/>
      <c r="H17" s="464"/>
      <c r="I17" s="509"/>
      <c r="J17" s="501" t="s">
        <v>259</v>
      </c>
      <c r="K17" s="502"/>
      <c r="L17" s="503" t="s">
        <v>500</v>
      </c>
      <c r="M17" s="504"/>
      <c r="N17" s="484" t="s">
        <v>321</v>
      </c>
      <c r="O17" s="485"/>
      <c r="P17" s="503" t="s">
        <v>500</v>
      </c>
      <c r="Q17" s="504"/>
      <c r="R17" s="506" t="s">
        <v>264</v>
      </c>
      <c r="S17" s="498" t="s">
        <v>326</v>
      </c>
      <c r="T17" s="499"/>
      <c r="U17" s="495" t="s">
        <v>471</v>
      </c>
      <c r="V17" s="496"/>
      <c r="W17" s="464"/>
      <c r="X17" s="467"/>
    </row>
    <row r="18" spans="1:24" ht="21.75" customHeight="1">
      <c r="A18" s="474"/>
      <c r="B18" s="477"/>
      <c r="C18" s="480"/>
      <c r="D18" s="480"/>
      <c r="E18" s="480"/>
      <c r="F18" s="515"/>
      <c r="G18" s="516"/>
      <c r="H18" s="465"/>
      <c r="I18" s="510"/>
      <c r="J18" s="138" t="s">
        <v>304</v>
      </c>
      <c r="K18" s="138" t="s">
        <v>305</v>
      </c>
      <c r="L18" s="116" t="s">
        <v>304</v>
      </c>
      <c r="M18" s="116" t="s">
        <v>305</v>
      </c>
      <c r="N18" s="139" t="s">
        <v>304</v>
      </c>
      <c r="O18" s="139" t="s">
        <v>305</v>
      </c>
      <c r="P18" s="116" t="s">
        <v>304</v>
      </c>
      <c r="Q18" s="116" t="s">
        <v>305</v>
      </c>
      <c r="R18" s="507"/>
      <c r="S18" s="138" t="s">
        <v>304</v>
      </c>
      <c r="T18" s="138" t="s">
        <v>305</v>
      </c>
      <c r="U18" s="138" t="s">
        <v>304</v>
      </c>
      <c r="V18" s="138" t="s">
        <v>305</v>
      </c>
      <c r="W18" s="465"/>
      <c r="X18" s="468"/>
    </row>
    <row r="19" spans="1:24" ht="27.75">
      <c r="A19" s="106">
        <v>1</v>
      </c>
      <c r="B19" s="73" t="s">
        <v>2</v>
      </c>
      <c r="C19" s="73"/>
      <c r="D19" s="74" t="s">
        <v>362</v>
      </c>
      <c r="E19" s="73"/>
      <c r="F19" s="490" t="s">
        <v>363</v>
      </c>
      <c r="G19" s="490"/>
      <c r="H19" s="450" t="s">
        <v>599</v>
      </c>
      <c r="I19" s="73"/>
      <c r="J19" s="73"/>
      <c r="K19" s="73"/>
      <c r="L19" s="73"/>
      <c r="M19" s="73"/>
      <c r="N19" s="73"/>
      <c r="O19" s="73"/>
      <c r="P19" s="73"/>
      <c r="Q19" s="73"/>
      <c r="R19" s="73"/>
      <c r="S19" s="73"/>
      <c r="T19" s="73"/>
      <c r="U19" s="73"/>
      <c r="V19" s="73"/>
      <c r="W19" s="73" t="s">
        <v>372</v>
      </c>
      <c r="X19" s="105"/>
    </row>
    <row r="20" spans="1:24" ht="51" customHeight="1">
      <c r="A20" s="106">
        <f>A19+1</f>
        <v>2</v>
      </c>
      <c r="B20" s="73" t="s">
        <v>2</v>
      </c>
      <c r="C20" s="73" t="s">
        <v>59</v>
      </c>
      <c r="D20" s="75" t="s">
        <v>61</v>
      </c>
      <c r="E20" s="73"/>
      <c r="F20" s="497" t="s">
        <v>364</v>
      </c>
      <c r="G20" s="497"/>
      <c r="H20" s="450" t="s">
        <v>599</v>
      </c>
      <c r="I20" s="73"/>
      <c r="J20" s="73">
        <v>24</v>
      </c>
      <c r="K20" s="73">
        <v>30</v>
      </c>
      <c r="L20" s="73"/>
      <c r="M20" s="73"/>
      <c r="N20" s="73"/>
      <c r="O20" s="73"/>
      <c r="P20" s="73"/>
      <c r="Q20" s="73"/>
      <c r="R20" s="75">
        <v>1</v>
      </c>
      <c r="S20" s="76">
        <f>((J20*$C$2+L20)+((N20*$C$2+P20))*R20)</f>
        <v>2400</v>
      </c>
      <c r="T20" s="76">
        <f>K20*$C$2+M20+((O20*$C$2+Q20)*R20)</f>
        <v>3000</v>
      </c>
      <c r="U20" s="73">
        <f>J20</f>
        <v>24</v>
      </c>
      <c r="V20" s="73">
        <f>K20</f>
        <v>30</v>
      </c>
      <c r="W20" s="80" t="s">
        <v>501</v>
      </c>
      <c r="X20" s="105" t="s">
        <v>469</v>
      </c>
    </row>
    <row r="21" spans="1:24" ht="42">
      <c r="A21" s="462">
        <v>2.1</v>
      </c>
      <c r="B21" s="489" t="s">
        <v>2</v>
      </c>
      <c r="C21" s="505" t="s">
        <v>365</v>
      </c>
      <c r="D21" s="492" t="s">
        <v>366</v>
      </c>
      <c r="E21" s="80"/>
      <c r="F21" s="491" t="s">
        <v>528</v>
      </c>
      <c r="G21" s="491"/>
      <c r="H21" s="489" t="s">
        <v>600</v>
      </c>
      <c r="I21" s="73" t="s">
        <v>367</v>
      </c>
      <c r="J21" s="73"/>
      <c r="K21" s="73"/>
      <c r="L21" s="73"/>
      <c r="M21" s="73"/>
      <c r="N21" s="73">
        <v>6</v>
      </c>
      <c r="O21" s="73">
        <v>8</v>
      </c>
      <c r="P21" s="78">
        <f>(C4*0.05)</f>
        <v>300</v>
      </c>
      <c r="Q21" s="78">
        <f>(C4*0.1)</f>
        <v>600</v>
      </c>
      <c r="R21" s="79">
        <v>1</v>
      </c>
      <c r="S21" s="76">
        <f>J21*$C$2+L21+((N21*$C$2+P21)*R21)</f>
        <v>900</v>
      </c>
      <c r="T21" s="76">
        <f>K21*$C$2+M21+((O21*$C$2+Q21)*R21)</f>
        <v>1400</v>
      </c>
      <c r="U21" s="73">
        <f aca="true" t="shared" si="0" ref="U21:V24">N21*5</f>
        <v>30</v>
      </c>
      <c r="V21" s="73">
        <f t="shared" si="0"/>
        <v>40</v>
      </c>
      <c r="W21" s="80" t="s">
        <v>529</v>
      </c>
      <c r="X21" s="107" t="s">
        <v>470</v>
      </c>
    </row>
    <row r="22" spans="1:25" ht="13.5">
      <c r="A22" s="462"/>
      <c r="B22" s="489"/>
      <c r="C22" s="505"/>
      <c r="D22" s="492"/>
      <c r="E22" s="73"/>
      <c r="F22" s="491"/>
      <c r="G22" s="491"/>
      <c r="H22" s="489"/>
      <c r="I22" s="73" t="s">
        <v>368</v>
      </c>
      <c r="J22" s="73"/>
      <c r="K22" s="73"/>
      <c r="L22" s="73"/>
      <c r="M22" s="73"/>
      <c r="N22" s="73">
        <v>6</v>
      </c>
      <c r="O22" s="73">
        <v>8</v>
      </c>
      <c r="P22" s="73"/>
      <c r="Q22" s="73"/>
      <c r="R22" s="79">
        <v>1</v>
      </c>
      <c r="S22" s="76">
        <f>J22*$C$2+L22+((N22*$C$2+P22)*R22)</f>
        <v>600</v>
      </c>
      <c r="T22" s="76">
        <f>K22*$C$2+M22+((O22*$C$2+Q22)*R22)</f>
        <v>800</v>
      </c>
      <c r="U22" s="73">
        <f t="shared" si="0"/>
        <v>30</v>
      </c>
      <c r="V22" s="73">
        <f t="shared" si="0"/>
        <v>40</v>
      </c>
      <c r="W22" s="73" t="s">
        <v>524</v>
      </c>
      <c r="X22" s="105" t="s">
        <v>469</v>
      </c>
      <c r="Y22" s="422"/>
    </row>
    <row r="23" spans="1:25" ht="27.75">
      <c r="A23" s="462"/>
      <c r="B23" s="489"/>
      <c r="C23" s="505"/>
      <c r="D23" s="492"/>
      <c r="E23" s="73"/>
      <c r="F23" s="491"/>
      <c r="G23" s="491"/>
      <c r="H23" s="489"/>
      <c r="I23" s="73" t="s">
        <v>369</v>
      </c>
      <c r="J23" s="73"/>
      <c r="K23" s="73"/>
      <c r="L23" s="78">
        <v>2500</v>
      </c>
      <c r="M23" s="78">
        <v>5000</v>
      </c>
      <c r="N23" s="73">
        <v>4</v>
      </c>
      <c r="O23" s="73">
        <v>8</v>
      </c>
      <c r="P23" s="73"/>
      <c r="Q23" s="73"/>
      <c r="R23" s="79">
        <v>1</v>
      </c>
      <c r="S23" s="76">
        <f>J23*$C$2+L23+((N23*$C$2+P23)*R23)</f>
        <v>2900</v>
      </c>
      <c r="T23" s="76">
        <f>K23*$C$2+M23+((O23*$C$2+Q23)*R23)</f>
        <v>5800</v>
      </c>
      <c r="U23" s="73">
        <f t="shared" si="0"/>
        <v>20</v>
      </c>
      <c r="V23" s="73">
        <f t="shared" si="0"/>
        <v>40</v>
      </c>
      <c r="W23" s="80" t="s">
        <v>525</v>
      </c>
      <c r="X23" s="105" t="s">
        <v>469</v>
      </c>
      <c r="Y23" s="422"/>
    </row>
    <row r="24" spans="1:24" ht="42">
      <c r="A24" s="462"/>
      <c r="B24" s="489"/>
      <c r="C24" s="505"/>
      <c r="D24" s="492"/>
      <c r="E24" s="73"/>
      <c r="F24" s="491"/>
      <c r="G24" s="491"/>
      <c r="H24" s="489"/>
      <c r="I24" s="73" t="s">
        <v>370</v>
      </c>
      <c r="J24" s="73"/>
      <c r="K24" s="73"/>
      <c r="L24" s="73"/>
      <c r="M24" s="73"/>
      <c r="N24" s="73">
        <v>32</v>
      </c>
      <c r="O24" s="73">
        <v>80</v>
      </c>
      <c r="P24" s="78">
        <v>50</v>
      </c>
      <c r="Q24" s="78">
        <v>100</v>
      </c>
      <c r="R24" s="79">
        <v>1</v>
      </c>
      <c r="S24" s="76">
        <f>J24*$C$2+L24+((N24*$C$2+P24)*R24)</f>
        <v>3250</v>
      </c>
      <c r="T24" s="76">
        <f>K24*$C$2+M24+((O24*$C$2+Q24)*R24)</f>
        <v>8100</v>
      </c>
      <c r="U24" s="73">
        <f t="shared" si="0"/>
        <v>160</v>
      </c>
      <c r="V24" s="73">
        <f t="shared" si="0"/>
        <v>400</v>
      </c>
      <c r="W24" s="80" t="s">
        <v>526</v>
      </c>
      <c r="X24" s="105" t="s">
        <v>469</v>
      </c>
    </row>
    <row r="25" spans="1:24" s="65" customFormat="1" ht="42">
      <c r="A25" s="469"/>
      <c r="B25" s="470"/>
      <c r="C25" s="470"/>
      <c r="D25" s="470"/>
      <c r="E25" s="470"/>
      <c r="F25" s="470"/>
      <c r="G25" s="470"/>
      <c r="H25" s="470"/>
      <c r="I25" s="470"/>
      <c r="J25" s="470"/>
      <c r="K25" s="470"/>
      <c r="L25" s="470"/>
      <c r="M25" s="470"/>
      <c r="N25" s="470"/>
      <c r="O25" s="470"/>
      <c r="P25" s="470"/>
      <c r="Q25" s="471"/>
      <c r="R25" s="81" t="s">
        <v>300</v>
      </c>
      <c r="S25" s="82">
        <f>S22*8</f>
        <v>4800</v>
      </c>
      <c r="T25" s="82">
        <f>T24*8</f>
        <v>64800</v>
      </c>
      <c r="U25" s="81">
        <f>N22*8</f>
        <v>48</v>
      </c>
      <c r="V25" s="81">
        <f>O24*8</f>
        <v>640</v>
      </c>
      <c r="W25" s="395" t="s">
        <v>527</v>
      </c>
      <c r="X25" s="118" t="s">
        <v>469</v>
      </c>
    </row>
    <row r="26" spans="1:24" ht="27.75" customHeight="1">
      <c r="A26" s="106">
        <v>2.2</v>
      </c>
      <c r="B26" s="73" t="s">
        <v>2</v>
      </c>
      <c r="C26" s="73"/>
      <c r="D26" s="79" t="s">
        <v>63</v>
      </c>
      <c r="E26" s="73"/>
      <c r="F26" s="491" t="s">
        <v>371</v>
      </c>
      <c r="G26" s="491"/>
      <c r="H26" s="450" t="s">
        <v>601</v>
      </c>
      <c r="I26" s="73"/>
      <c r="J26" s="73"/>
      <c r="K26" s="73"/>
      <c r="L26" s="73"/>
      <c r="M26" s="73"/>
      <c r="N26" s="73">
        <v>8</v>
      </c>
      <c r="O26" s="73">
        <v>12</v>
      </c>
      <c r="P26" s="73"/>
      <c r="Q26" s="73"/>
      <c r="R26" s="79">
        <v>5</v>
      </c>
      <c r="S26" s="76">
        <f>J26*$C$2+L26+((N26*$C$2+P26)*R26)</f>
        <v>4000</v>
      </c>
      <c r="T26" s="76">
        <f>K26*$C$2+M26+((O26*$C$2+Q26)*R26)</f>
        <v>6000</v>
      </c>
      <c r="U26" s="73">
        <f>N26*5</f>
        <v>40</v>
      </c>
      <c r="V26" s="73">
        <f>O26*5</f>
        <v>60</v>
      </c>
      <c r="W26" s="84" t="s">
        <v>373</v>
      </c>
      <c r="X26" s="105" t="s">
        <v>469</v>
      </c>
    </row>
    <row r="27" spans="1:24" ht="13.5" customHeight="1">
      <c r="A27" s="462">
        <v>2.3</v>
      </c>
      <c r="B27" s="489" t="s">
        <v>2</v>
      </c>
      <c r="C27" s="489"/>
      <c r="D27" s="500" t="s">
        <v>63</v>
      </c>
      <c r="E27" s="489" t="s">
        <v>71</v>
      </c>
      <c r="F27" s="492" t="s">
        <v>186</v>
      </c>
      <c r="G27" s="492"/>
      <c r="H27" s="489" t="s">
        <v>602</v>
      </c>
      <c r="I27" s="489"/>
      <c r="J27" s="489"/>
      <c r="K27" s="489"/>
      <c r="L27" s="489"/>
      <c r="M27" s="489"/>
      <c r="N27" s="489"/>
      <c r="O27" s="489"/>
      <c r="P27" s="489"/>
      <c r="Q27" s="489"/>
      <c r="R27" s="489"/>
      <c r="S27" s="517"/>
      <c r="T27" s="517"/>
      <c r="U27" s="489"/>
      <c r="V27" s="519"/>
      <c r="W27" s="505" t="s">
        <v>462</v>
      </c>
      <c r="X27" s="518" t="s">
        <v>375</v>
      </c>
    </row>
    <row r="28" spans="1:24" s="47" customFormat="1" ht="13.5">
      <c r="A28" s="462"/>
      <c r="B28" s="489"/>
      <c r="C28" s="489"/>
      <c r="D28" s="500"/>
      <c r="E28" s="489"/>
      <c r="F28" s="492"/>
      <c r="G28" s="492"/>
      <c r="H28" s="489"/>
      <c r="I28" s="489"/>
      <c r="J28" s="489"/>
      <c r="K28" s="489"/>
      <c r="L28" s="489"/>
      <c r="M28" s="489"/>
      <c r="N28" s="489"/>
      <c r="O28" s="489"/>
      <c r="P28" s="489"/>
      <c r="Q28" s="489"/>
      <c r="R28" s="489"/>
      <c r="S28" s="517"/>
      <c r="T28" s="517"/>
      <c r="U28" s="489"/>
      <c r="V28" s="520"/>
      <c r="W28" s="505"/>
      <c r="X28" s="518"/>
    </row>
    <row r="29" spans="1:24" s="47" customFormat="1" ht="13.5">
      <c r="A29" s="462"/>
      <c r="B29" s="489"/>
      <c r="C29" s="489"/>
      <c r="D29" s="500"/>
      <c r="E29" s="489"/>
      <c r="F29" s="492"/>
      <c r="G29" s="492"/>
      <c r="H29" s="489"/>
      <c r="I29" s="489"/>
      <c r="J29" s="489"/>
      <c r="K29" s="489"/>
      <c r="L29" s="489"/>
      <c r="M29" s="489"/>
      <c r="N29" s="489"/>
      <c r="O29" s="489"/>
      <c r="P29" s="489"/>
      <c r="Q29" s="489"/>
      <c r="R29" s="489"/>
      <c r="S29" s="517"/>
      <c r="T29" s="517"/>
      <c r="U29" s="489"/>
      <c r="V29" s="521"/>
      <c r="W29" s="505"/>
      <c r="X29" s="518"/>
    </row>
    <row r="30" spans="1:24" s="47" customFormat="1" ht="27.75">
      <c r="A30" s="108"/>
      <c r="B30" s="109"/>
      <c r="C30" s="109"/>
      <c r="D30" s="110"/>
      <c r="E30" s="109"/>
      <c r="F30" s="109"/>
      <c r="G30" s="109"/>
      <c r="H30" s="109"/>
      <c r="I30" s="111"/>
      <c r="J30" s="111"/>
      <c r="K30" s="111"/>
      <c r="L30" s="112"/>
      <c r="M30" s="112"/>
      <c r="N30" s="111"/>
      <c r="O30" s="111"/>
      <c r="P30" s="112"/>
      <c r="Q30" s="112"/>
      <c r="R30" s="113" t="s">
        <v>332</v>
      </c>
      <c r="S30" s="114">
        <f>ROUND((S20+S25+S26+S27),3-(INT(LOG((S20+S25+S26+S27))+1)))</f>
        <v>11200</v>
      </c>
      <c r="T30" s="114">
        <f>ROUND((T20+T25+T26+T27),3-(INT(LOG((T20+T25+T26+T27))+1)))</f>
        <v>73800</v>
      </c>
      <c r="U30" s="448">
        <f>ROUND((U20+U25+U26+U27),3-(INT(LOG((U20+U25+U26+U27))+1)))</f>
        <v>112</v>
      </c>
      <c r="V30" s="448">
        <f>ROUND((V20+V25+V26+V27),3-(INT(LOG((V20+V25+V26+V27))+1)))</f>
        <v>730</v>
      </c>
      <c r="W30" s="109"/>
      <c r="X30" s="115" t="s">
        <v>374</v>
      </c>
    </row>
    <row r="31" spans="4:20" ht="13.5">
      <c r="D31" s="9"/>
      <c r="Q31" s="25"/>
      <c r="R31" s="27"/>
      <c r="S31" s="27"/>
      <c r="T31" s="27"/>
    </row>
    <row r="32" ht="13.5">
      <c r="D32" s="10"/>
    </row>
    <row r="33" ht="13.5">
      <c r="D33" s="3"/>
    </row>
    <row r="34" ht="13.5">
      <c r="D34" s="11"/>
    </row>
    <row r="35" ht="13.5">
      <c r="D35" s="11"/>
    </row>
    <row r="36" ht="13.5">
      <c r="D36" s="11"/>
    </row>
    <row r="37" ht="9" customHeight="1">
      <c r="D37" s="11"/>
    </row>
    <row r="38" ht="13.5">
      <c r="D38" s="11"/>
    </row>
    <row r="39" ht="13.5">
      <c r="D39" s="3"/>
    </row>
    <row r="40" ht="13.5">
      <c r="D40" s="3"/>
    </row>
    <row r="41" ht="13.5">
      <c r="D41" s="3"/>
    </row>
    <row r="42" ht="13.5">
      <c r="D42" s="3"/>
    </row>
    <row r="43" ht="13.5">
      <c r="D43" s="8"/>
    </row>
    <row r="44" ht="13.5">
      <c r="D44" s="8"/>
    </row>
    <row r="45" ht="13.5">
      <c r="D45" s="3"/>
    </row>
    <row r="46" ht="13.5">
      <c r="D46" s="3"/>
    </row>
    <row r="47" ht="13.5">
      <c r="D47" s="3"/>
    </row>
    <row r="48" ht="13.5">
      <c r="D48" s="3"/>
    </row>
    <row r="49" ht="13.5">
      <c r="D49" s="3"/>
    </row>
    <row r="50" ht="13.5">
      <c r="D50" s="3"/>
    </row>
    <row r="51" ht="13.5">
      <c r="D51" s="3"/>
    </row>
    <row r="52" ht="13.5">
      <c r="D52" s="2"/>
    </row>
  </sheetData>
  <sheetProtection/>
  <mergeCells count="60">
    <mergeCell ref="T27:T29"/>
    <mergeCell ref="W27:W29"/>
    <mergeCell ref="X27:X29"/>
    <mergeCell ref="N27:N29"/>
    <mergeCell ref="O27:O29"/>
    <mergeCell ref="P27:P29"/>
    <mergeCell ref="Q27:Q29"/>
    <mergeCell ref="R27:R29"/>
    <mergeCell ref="S27:S29"/>
    <mergeCell ref="V27:V29"/>
    <mergeCell ref="P17:Q17"/>
    <mergeCell ref="R17:R18"/>
    <mergeCell ref="E27:E29"/>
    <mergeCell ref="H27:H29"/>
    <mergeCell ref="I27:I29"/>
    <mergeCell ref="J27:J29"/>
    <mergeCell ref="K27:K29"/>
    <mergeCell ref="I16:I18"/>
    <mergeCell ref="E16:E18"/>
    <mergeCell ref="F16:G18"/>
    <mergeCell ref="A27:A29"/>
    <mergeCell ref="B27:B29"/>
    <mergeCell ref="D27:D29"/>
    <mergeCell ref="B6:C6"/>
    <mergeCell ref="D6:E6"/>
    <mergeCell ref="J16:M16"/>
    <mergeCell ref="J17:K17"/>
    <mergeCell ref="L17:M17"/>
    <mergeCell ref="B21:B24"/>
    <mergeCell ref="C21:C24"/>
    <mergeCell ref="D21:D24"/>
    <mergeCell ref="L27:L29"/>
    <mergeCell ref="M27:M29"/>
    <mergeCell ref="H21:H24"/>
    <mergeCell ref="U17:V17"/>
    <mergeCell ref="U27:U29"/>
    <mergeCell ref="F20:G20"/>
    <mergeCell ref="S17:T17"/>
    <mergeCell ref="H16:H18"/>
    <mergeCell ref="S16:V16"/>
    <mergeCell ref="N16:R16"/>
    <mergeCell ref="N17:O17"/>
    <mergeCell ref="A1:C1"/>
    <mergeCell ref="C27:C29"/>
    <mergeCell ref="F19:G19"/>
    <mergeCell ref="F21:G24"/>
    <mergeCell ref="F26:G26"/>
    <mergeCell ref="F27:G29"/>
    <mergeCell ref="A4:B4"/>
    <mergeCell ref="A3:B3"/>
    <mergeCell ref="A2:B2"/>
    <mergeCell ref="A21:A24"/>
    <mergeCell ref="W16:W18"/>
    <mergeCell ref="X16:X18"/>
    <mergeCell ref="A25:Q25"/>
    <mergeCell ref="A16:A18"/>
    <mergeCell ref="B16:B18"/>
    <mergeCell ref="C16:C18"/>
    <mergeCell ref="D16:D18"/>
  </mergeCell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V38"/>
  <sheetViews>
    <sheetView zoomScale="70" zoomScaleNormal="70" workbookViewId="0" topLeftCell="A1">
      <selection activeCell="G15" sqref="G15:G19"/>
    </sheetView>
  </sheetViews>
  <sheetFormatPr defaultColWidth="8.8515625" defaultRowHeight="15"/>
  <cols>
    <col min="1" max="1" width="10.8515625" style="0" bestFit="1" customWidth="1"/>
    <col min="2" max="3" width="10.28125" style="0" customWidth="1"/>
    <col min="4" max="4" width="12.28125" style="0" customWidth="1"/>
    <col min="5" max="5" width="5.7109375" style="1" customWidth="1"/>
    <col min="6" max="6" width="75.28125" style="0" customWidth="1"/>
    <col min="7" max="7" width="11.28125" style="0" customWidth="1"/>
    <col min="8" max="8" width="8.8515625" style="0" customWidth="1"/>
    <col min="9" max="9" width="13.421875" style="0" customWidth="1"/>
    <col min="10" max="17" width="8.8515625" style="0" customWidth="1"/>
    <col min="18" max="18" width="10.00390625" style="0" bestFit="1" customWidth="1"/>
    <col min="19" max="20" width="8.8515625" style="0" customWidth="1"/>
    <col min="21" max="21" width="28.28125" style="0" bestFit="1" customWidth="1"/>
    <col min="22" max="22" width="41.7109375" style="0" customWidth="1"/>
    <col min="23" max="23" width="8.8515625" style="0" customWidth="1"/>
    <col min="24" max="24" width="50.8515625" style="0" customWidth="1"/>
    <col min="25" max="25" width="22.28125" style="0" bestFit="1" customWidth="1"/>
  </cols>
  <sheetData>
    <row r="1" spans="1:10" ht="21.75" customHeight="1">
      <c r="A1" s="486" t="s">
        <v>477</v>
      </c>
      <c r="B1" s="487"/>
      <c r="C1" s="488"/>
      <c r="D1" s="47"/>
      <c r="E1" s="47"/>
      <c r="I1" s="21"/>
      <c r="J1" s="21"/>
    </row>
    <row r="2" spans="1:10" ht="21.75" customHeight="1">
      <c r="A2" s="493" t="s">
        <v>346</v>
      </c>
      <c r="B2" s="494"/>
      <c r="C2" s="119">
        <f>'MS4 Stats'!B10</f>
        <v>100</v>
      </c>
      <c r="D2" s="47"/>
      <c r="E2" s="47"/>
      <c r="I2" s="24"/>
      <c r="J2" s="24"/>
    </row>
    <row r="3" spans="4:10" ht="21.75" customHeight="1">
      <c r="D3" s="3"/>
      <c r="E3"/>
      <c r="I3" s="24"/>
      <c r="J3" s="24"/>
    </row>
    <row r="4" spans="1:10" ht="21.75" customHeight="1">
      <c r="A4" s="486"/>
      <c r="B4" s="487" t="s">
        <v>479</v>
      </c>
      <c r="C4" s="487"/>
      <c r="D4" s="487" t="s">
        <v>259</v>
      </c>
      <c r="E4" s="488"/>
      <c r="I4" s="44"/>
      <c r="J4" s="44"/>
    </row>
    <row r="5" spans="1:5" ht="21.75" customHeight="1">
      <c r="A5" s="536"/>
      <c r="B5" s="103" t="s">
        <v>304</v>
      </c>
      <c r="C5" s="103" t="s">
        <v>305</v>
      </c>
      <c r="D5" s="103" t="s">
        <v>304</v>
      </c>
      <c r="E5" s="104" t="s">
        <v>305</v>
      </c>
    </row>
    <row r="6" spans="1:5" ht="21.75" customHeight="1">
      <c r="A6" s="85" t="s">
        <v>63</v>
      </c>
      <c r="B6" s="86">
        <f>ROUND((((L15+L16)*C2)+(N15+N16)),3-(INT(LOG((((L15+L16)*C2)+(N15+N16)))+1)))</f>
        <v>1800</v>
      </c>
      <c r="C6" s="86">
        <f>ROUND((((M15+M16)*C2)+(O15+O16)),3-(INT(LOG((((M15+M16)*C2)+(O15+O16)))+1)))</f>
        <v>3400</v>
      </c>
      <c r="D6" s="88">
        <f>ROUND((L15+L16+L17),3-(INT(LOG((L15+L16+L17))+1)))</f>
        <v>16</v>
      </c>
      <c r="E6" s="88">
        <f>ROUND((M15+M16+M17),3-(INT(LOG((M15+M16+M17))+1)))</f>
        <v>30</v>
      </c>
    </row>
    <row r="7" spans="1:5" ht="21.75" customHeight="1">
      <c r="A7" s="90" t="s">
        <v>480</v>
      </c>
      <c r="B7" s="91">
        <f>(H15+H16+H17)*C2+(J15+J16+J17)</f>
        <v>0</v>
      </c>
      <c r="C7" s="91">
        <f>(I15+I16+I17)*C2+(K15+K16+K17)</f>
        <v>0</v>
      </c>
      <c r="D7" s="92">
        <f>H15+H16+H17</f>
        <v>0</v>
      </c>
      <c r="E7" s="93">
        <f>I15+I16+I17</f>
        <v>0</v>
      </c>
    </row>
    <row r="8" spans="1:5" ht="21.75" customHeight="1">
      <c r="A8" s="94" t="s">
        <v>62</v>
      </c>
      <c r="B8" s="95">
        <v>0</v>
      </c>
      <c r="C8" s="95">
        <v>0</v>
      </c>
      <c r="D8" s="96">
        <v>0</v>
      </c>
      <c r="E8" s="97">
        <v>0</v>
      </c>
    </row>
    <row r="9" spans="1:5" ht="21.75" customHeight="1">
      <c r="A9" s="98" t="s">
        <v>478</v>
      </c>
      <c r="B9" s="99">
        <f>Q20</f>
        <v>9000</v>
      </c>
      <c r="C9" s="99">
        <f>R20</f>
        <v>17000</v>
      </c>
      <c r="D9" s="100">
        <f>S20</f>
        <v>80</v>
      </c>
      <c r="E9" s="101">
        <f>T20</f>
        <v>150</v>
      </c>
    </row>
    <row r="10" spans="4:5" ht="21.75" customHeight="1">
      <c r="D10" s="3"/>
      <c r="E10"/>
    </row>
    <row r="11" spans="4:5" ht="13.5">
      <c r="D11" s="3"/>
      <c r="E11"/>
    </row>
    <row r="12" spans="1:22" ht="45" customHeight="1">
      <c r="A12" s="537" t="s">
        <v>0</v>
      </c>
      <c r="B12" s="540" t="s">
        <v>29</v>
      </c>
      <c r="C12" s="543" t="s">
        <v>32</v>
      </c>
      <c r="D12" s="543" t="s">
        <v>110</v>
      </c>
      <c r="E12" s="543" t="s">
        <v>70</v>
      </c>
      <c r="F12" s="522" t="s">
        <v>376</v>
      </c>
      <c r="G12" s="522" t="s">
        <v>1</v>
      </c>
      <c r="H12" s="528" t="s">
        <v>497</v>
      </c>
      <c r="I12" s="528"/>
      <c r="J12" s="528"/>
      <c r="K12" s="528"/>
      <c r="L12" s="528" t="s">
        <v>498</v>
      </c>
      <c r="M12" s="528"/>
      <c r="N12" s="528"/>
      <c r="O12" s="528"/>
      <c r="P12" s="528"/>
      <c r="Q12" s="533" t="s">
        <v>499</v>
      </c>
      <c r="R12" s="534"/>
      <c r="S12" s="534"/>
      <c r="T12" s="535"/>
      <c r="U12" s="522" t="s">
        <v>58</v>
      </c>
      <c r="V12" s="525" t="s">
        <v>261</v>
      </c>
    </row>
    <row r="13" spans="1:22" ht="43.5" customHeight="1">
      <c r="A13" s="538"/>
      <c r="B13" s="541"/>
      <c r="C13" s="544"/>
      <c r="D13" s="544"/>
      <c r="E13" s="544"/>
      <c r="F13" s="523"/>
      <c r="G13" s="523"/>
      <c r="H13" s="530" t="s">
        <v>259</v>
      </c>
      <c r="I13" s="530"/>
      <c r="J13" s="531" t="s">
        <v>502</v>
      </c>
      <c r="K13" s="531"/>
      <c r="L13" s="532" t="s">
        <v>321</v>
      </c>
      <c r="M13" s="532"/>
      <c r="N13" s="531" t="s">
        <v>500</v>
      </c>
      <c r="O13" s="531"/>
      <c r="P13" s="532" t="s">
        <v>264</v>
      </c>
      <c r="Q13" s="529" t="s">
        <v>326</v>
      </c>
      <c r="R13" s="529"/>
      <c r="S13" s="529" t="s">
        <v>472</v>
      </c>
      <c r="T13" s="529"/>
      <c r="U13" s="523"/>
      <c r="V13" s="526"/>
    </row>
    <row r="14" spans="1:22" ht="13.5">
      <c r="A14" s="539"/>
      <c r="B14" s="542"/>
      <c r="C14" s="545"/>
      <c r="D14" s="545"/>
      <c r="E14" s="545"/>
      <c r="F14" s="524"/>
      <c r="G14" s="524"/>
      <c r="H14" s="196" t="s">
        <v>304</v>
      </c>
      <c r="I14" s="196" t="s">
        <v>305</v>
      </c>
      <c r="J14" s="259" t="s">
        <v>304</v>
      </c>
      <c r="K14" s="259" t="s">
        <v>305</v>
      </c>
      <c r="L14" s="258" t="s">
        <v>304</v>
      </c>
      <c r="M14" s="258" t="s">
        <v>305</v>
      </c>
      <c r="N14" s="259" t="s">
        <v>304</v>
      </c>
      <c r="O14" s="259" t="s">
        <v>305</v>
      </c>
      <c r="P14" s="532"/>
      <c r="Q14" s="196" t="s">
        <v>304</v>
      </c>
      <c r="R14" s="196" t="s">
        <v>305</v>
      </c>
      <c r="S14" s="196" t="s">
        <v>304</v>
      </c>
      <c r="T14" s="196" t="s">
        <v>305</v>
      </c>
      <c r="U14" s="524"/>
      <c r="V14" s="527"/>
    </row>
    <row r="15" spans="1:22" ht="97.5">
      <c r="A15" s="129">
        <v>1</v>
      </c>
      <c r="B15" s="120" t="s">
        <v>2</v>
      </c>
      <c r="C15" s="121"/>
      <c r="D15" s="122" t="s">
        <v>362</v>
      </c>
      <c r="E15" s="123"/>
      <c r="F15" s="122" t="s">
        <v>377</v>
      </c>
      <c r="G15" s="62" t="s">
        <v>603</v>
      </c>
      <c r="H15" s="120"/>
      <c r="I15" s="120"/>
      <c r="J15" s="120"/>
      <c r="K15" s="120"/>
      <c r="L15" s="120">
        <v>8</v>
      </c>
      <c r="M15" s="120">
        <v>16</v>
      </c>
      <c r="N15" s="120"/>
      <c r="O15" s="120"/>
      <c r="P15" s="120">
        <v>5</v>
      </c>
      <c r="Q15" s="124">
        <f aca="true" t="shared" si="0" ref="Q15:R17">((H15*$C$2)+J15)+(((L15*$C$2)+N15)*$P$15)</f>
        <v>4000</v>
      </c>
      <c r="R15" s="124">
        <f t="shared" si="0"/>
        <v>8000</v>
      </c>
      <c r="S15" s="125">
        <f aca="true" t="shared" si="1" ref="S15:T17">L15*$P$15</f>
        <v>40</v>
      </c>
      <c r="T15" s="125">
        <f t="shared" si="1"/>
        <v>80</v>
      </c>
      <c r="U15" s="121" t="s">
        <v>514</v>
      </c>
      <c r="V15" s="130" t="s">
        <v>469</v>
      </c>
    </row>
    <row r="16" spans="1:22" ht="42">
      <c r="A16" s="129">
        <f>A15+1</f>
        <v>2</v>
      </c>
      <c r="B16" s="120" t="s">
        <v>2</v>
      </c>
      <c r="C16" s="120"/>
      <c r="D16" s="126" t="s">
        <v>362</v>
      </c>
      <c r="E16" s="123"/>
      <c r="F16" s="122" t="s">
        <v>378</v>
      </c>
      <c r="G16" s="62" t="s">
        <v>604</v>
      </c>
      <c r="H16" s="120"/>
      <c r="I16" s="120"/>
      <c r="J16" s="120"/>
      <c r="K16" s="120"/>
      <c r="L16" s="120">
        <v>8</v>
      </c>
      <c r="M16" s="120">
        <v>14</v>
      </c>
      <c r="N16" s="127">
        <v>200</v>
      </c>
      <c r="O16" s="127">
        <v>400</v>
      </c>
      <c r="P16" s="120">
        <v>5</v>
      </c>
      <c r="Q16" s="124">
        <f t="shared" si="0"/>
        <v>5000</v>
      </c>
      <c r="R16" s="124">
        <f t="shared" si="0"/>
        <v>9000</v>
      </c>
      <c r="S16" s="125">
        <f t="shared" si="1"/>
        <v>40</v>
      </c>
      <c r="T16" s="125">
        <f t="shared" si="1"/>
        <v>70</v>
      </c>
      <c r="U16" s="121" t="s">
        <v>380</v>
      </c>
      <c r="V16" s="130" t="s">
        <v>469</v>
      </c>
    </row>
    <row r="17" spans="1:22" ht="27.75">
      <c r="A17" s="129">
        <f>A16+1</f>
        <v>3</v>
      </c>
      <c r="B17" s="120" t="s">
        <v>2</v>
      </c>
      <c r="C17" s="120"/>
      <c r="D17" s="126" t="s">
        <v>362</v>
      </c>
      <c r="E17" s="123" t="s">
        <v>71</v>
      </c>
      <c r="F17" s="128" t="s">
        <v>379</v>
      </c>
      <c r="G17" s="62" t="s">
        <v>605</v>
      </c>
      <c r="H17" s="120"/>
      <c r="I17" s="120"/>
      <c r="J17" s="120"/>
      <c r="K17" s="120"/>
      <c r="L17" s="120"/>
      <c r="M17" s="120"/>
      <c r="N17" s="120"/>
      <c r="O17" s="120"/>
      <c r="P17" s="120">
        <v>5</v>
      </c>
      <c r="Q17" s="124">
        <f t="shared" si="0"/>
        <v>0</v>
      </c>
      <c r="R17" s="124">
        <f t="shared" si="0"/>
        <v>0</v>
      </c>
      <c r="S17" s="125">
        <f t="shared" si="1"/>
        <v>0</v>
      </c>
      <c r="T17" s="125">
        <f t="shared" si="1"/>
        <v>0</v>
      </c>
      <c r="U17" s="120" t="s">
        <v>461</v>
      </c>
      <c r="V17" s="130"/>
    </row>
    <row r="18" spans="1:22" ht="27.75">
      <c r="A18" s="386">
        <v>4</v>
      </c>
      <c r="B18" s="214" t="s">
        <v>2</v>
      </c>
      <c r="C18" s="387"/>
      <c r="D18" s="392" t="s">
        <v>362</v>
      </c>
      <c r="E18" s="388"/>
      <c r="F18" s="346" t="s">
        <v>218</v>
      </c>
      <c r="G18" s="62" t="s">
        <v>121</v>
      </c>
      <c r="H18" s="387"/>
      <c r="I18" s="387"/>
      <c r="J18" s="387"/>
      <c r="K18" s="387"/>
      <c r="L18" s="387"/>
      <c r="M18" s="387"/>
      <c r="N18" s="387"/>
      <c r="O18" s="387"/>
      <c r="P18" s="387"/>
      <c r="Q18" s="389"/>
      <c r="R18" s="389"/>
      <c r="S18" s="390"/>
      <c r="T18" s="390"/>
      <c r="U18" s="387" t="s">
        <v>509</v>
      </c>
      <c r="V18" s="391"/>
    </row>
    <row r="19" spans="1:22" ht="27.75">
      <c r="A19" s="386">
        <v>5</v>
      </c>
      <c r="B19" s="214" t="s">
        <v>2</v>
      </c>
      <c r="C19" s="387"/>
      <c r="D19" s="392" t="s">
        <v>362</v>
      </c>
      <c r="E19" s="388"/>
      <c r="F19" s="346" t="s">
        <v>219</v>
      </c>
      <c r="G19" s="62" t="s">
        <v>123</v>
      </c>
      <c r="H19" s="387"/>
      <c r="I19" s="387"/>
      <c r="J19" s="387"/>
      <c r="K19" s="387"/>
      <c r="L19" s="387"/>
      <c r="M19" s="387"/>
      <c r="N19" s="387"/>
      <c r="O19" s="387"/>
      <c r="P19" s="387"/>
      <c r="Q19" s="389"/>
      <c r="R19" s="389"/>
      <c r="S19" s="390"/>
      <c r="T19" s="390"/>
      <c r="U19" s="393" t="s">
        <v>515</v>
      </c>
      <c r="V19" s="391"/>
    </row>
    <row r="20" spans="1:22" ht="36" customHeight="1">
      <c r="A20" s="131"/>
      <c r="B20" s="132"/>
      <c r="C20" s="132"/>
      <c r="D20" s="133"/>
      <c r="E20" s="132"/>
      <c r="F20" s="132"/>
      <c r="G20" s="132"/>
      <c r="H20" s="132"/>
      <c r="I20" s="132"/>
      <c r="J20" s="132"/>
      <c r="K20" s="132"/>
      <c r="L20" s="132"/>
      <c r="M20" s="132"/>
      <c r="N20" s="132"/>
      <c r="O20" s="134"/>
      <c r="P20" s="135" t="s">
        <v>332</v>
      </c>
      <c r="Q20" s="136">
        <f>ROUND((SUM(Q15:Q17)),3-(INT(LOG((SUM(Q15:Q17)))+1)))</f>
        <v>9000</v>
      </c>
      <c r="R20" s="136">
        <f>ROUND((SUM(R15:R17)),3-(INT(LOG((SUM(R15:R17)))+1)))</f>
        <v>17000</v>
      </c>
      <c r="S20" s="449">
        <f>ROUND((SUM(S15:S17)),3-(INT(LOG((SUM(S15:S17)))+1)))</f>
        <v>80</v>
      </c>
      <c r="T20" s="449">
        <f>ROUND((SUM(T15:T17)),3-(INT(LOG((SUM(T15:T17)))+1)))</f>
        <v>150</v>
      </c>
      <c r="U20" s="132"/>
      <c r="V20" s="137" t="s">
        <v>381</v>
      </c>
    </row>
    <row r="21" spans="4:5" ht="13.5">
      <c r="D21" s="3"/>
      <c r="E21"/>
    </row>
    <row r="22" spans="4:5" ht="13.5">
      <c r="D22" s="11"/>
      <c r="E22"/>
    </row>
    <row r="23" spans="4:5" ht="13.5">
      <c r="D23" s="11"/>
      <c r="E23"/>
    </row>
    <row r="24" spans="4:5" ht="13.5">
      <c r="D24" s="11"/>
      <c r="E24"/>
    </row>
    <row r="25" spans="4:5" ht="13.5">
      <c r="D25" s="3"/>
      <c r="E25"/>
    </row>
    <row r="26" spans="4:5" ht="13.5">
      <c r="D26" s="3"/>
      <c r="E26"/>
    </row>
    <row r="27" spans="4:5" ht="13.5">
      <c r="D27" s="3"/>
      <c r="E27"/>
    </row>
    <row r="28" spans="4:5" ht="13.5">
      <c r="D28" s="3"/>
      <c r="E28"/>
    </row>
    <row r="29" spans="4:5" ht="13.5">
      <c r="D29" s="8"/>
      <c r="E29"/>
    </row>
    <row r="30" spans="4:5" ht="13.5">
      <c r="D30" s="8"/>
      <c r="E30"/>
    </row>
    <row r="31" spans="4:5" ht="13.5">
      <c r="D31" s="3"/>
      <c r="E31"/>
    </row>
    <row r="32" spans="4:5" ht="13.5">
      <c r="D32" s="3"/>
      <c r="E32"/>
    </row>
    <row r="33" spans="4:5" ht="13.5">
      <c r="D33" s="3"/>
      <c r="E33"/>
    </row>
    <row r="34" spans="4:5" ht="13.5">
      <c r="D34" s="3"/>
      <c r="E34"/>
    </row>
    <row r="35" spans="4:5" ht="13.5">
      <c r="D35" s="3"/>
      <c r="E35"/>
    </row>
    <row r="36" spans="4:5" ht="13.5">
      <c r="D36" s="3"/>
      <c r="E36"/>
    </row>
    <row r="37" spans="4:5" ht="13.5">
      <c r="D37" s="3"/>
      <c r="E37"/>
    </row>
    <row r="38" spans="4:5" ht="13.5">
      <c r="D38" s="2"/>
      <c r="E38"/>
    </row>
  </sheetData>
  <sheetProtection/>
  <mergeCells count="24">
    <mergeCell ref="A1:C1"/>
    <mergeCell ref="A2:B2"/>
    <mergeCell ref="A4:A5"/>
    <mergeCell ref="B4:C4"/>
    <mergeCell ref="D4:E4"/>
    <mergeCell ref="A12:A14"/>
    <mergeCell ref="B12:B14"/>
    <mergeCell ref="C12:C14"/>
    <mergeCell ref="D12:D14"/>
    <mergeCell ref="E12:E14"/>
    <mergeCell ref="F12:F14"/>
    <mergeCell ref="G12:G14"/>
    <mergeCell ref="Q12:T12"/>
    <mergeCell ref="N13:O13"/>
    <mergeCell ref="P13:P14"/>
    <mergeCell ref="S13:T13"/>
    <mergeCell ref="U12:U14"/>
    <mergeCell ref="V12:V14"/>
    <mergeCell ref="H12:K12"/>
    <mergeCell ref="L12:P12"/>
    <mergeCell ref="Q13:R13"/>
    <mergeCell ref="H13:I13"/>
    <mergeCell ref="J13:K13"/>
    <mergeCell ref="L13:M13"/>
  </mergeCell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AJ78"/>
  <sheetViews>
    <sheetView zoomScale="70" zoomScaleNormal="70" workbookViewId="0" topLeftCell="A1">
      <selection activeCell="A3" sqref="A3"/>
    </sheetView>
  </sheetViews>
  <sheetFormatPr defaultColWidth="8.8515625" defaultRowHeight="15"/>
  <cols>
    <col min="1" max="1" width="10.421875" style="0" bestFit="1" customWidth="1"/>
    <col min="2" max="2" width="19.28125" style="0" customWidth="1"/>
    <col min="3" max="3" width="11.00390625" style="1" customWidth="1"/>
    <col min="4" max="4" width="12.28125" style="0" customWidth="1"/>
    <col min="5" max="6" width="5.7109375" style="1" customWidth="1"/>
    <col min="7" max="7" width="116.8515625" style="1" bestFit="1" customWidth="1"/>
    <col min="8" max="8" width="23.7109375" style="0" bestFit="1" customWidth="1"/>
    <col min="9" max="9" width="13.140625" style="1" customWidth="1"/>
    <col min="10" max="10" width="8.8515625" style="0" customWidth="1"/>
    <col min="11" max="12" width="10.8515625" style="0" bestFit="1" customWidth="1"/>
    <col min="13" max="17" width="8.8515625" style="0" customWidth="1"/>
    <col min="18" max="18" width="10.8515625" style="0" customWidth="1"/>
    <col min="19" max="19" width="10.00390625" style="0" bestFit="1" customWidth="1"/>
    <col min="20" max="20" width="8.8515625" style="0" customWidth="1"/>
    <col min="21" max="21" width="10.00390625" style="0" bestFit="1" customWidth="1"/>
    <col min="22" max="22" width="79.421875" style="0" customWidth="1"/>
    <col min="23" max="23" width="39.421875" style="0" bestFit="1" customWidth="1"/>
  </cols>
  <sheetData>
    <row r="1" ht="13.5">
      <c r="I1" s="27"/>
    </row>
    <row r="2" spans="3:9" ht="13.5">
      <c r="C2"/>
      <c r="E2"/>
      <c r="F2"/>
      <c r="G2"/>
      <c r="I2"/>
    </row>
    <row r="3" spans="3:9" ht="13.5">
      <c r="C3"/>
      <c r="E3"/>
      <c r="F3"/>
      <c r="G3"/>
      <c r="I3" s="28"/>
    </row>
    <row r="4" spans="3:9" ht="13.5">
      <c r="C4"/>
      <c r="E4"/>
      <c r="F4"/>
      <c r="G4"/>
      <c r="I4"/>
    </row>
    <row r="5" spans="1:9" ht="21.75" customHeight="1">
      <c r="A5" s="486" t="s">
        <v>477</v>
      </c>
      <c r="B5" s="487"/>
      <c r="C5" s="487"/>
      <c r="D5" s="488"/>
      <c r="E5" s="47"/>
      <c r="F5"/>
      <c r="G5"/>
      <c r="H5" s="1"/>
      <c r="I5" s="21"/>
    </row>
    <row r="6" spans="1:8" ht="21.75" customHeight="1">
      <c r="A6" s="547" t="s">
        <v>516</v>
      </c>
      <c r="B6" s="548"/>
      <c r="C6" s="55">
        <f>'MS4 Stats'!C16</f>
        <v>600</v>
      </c>
      <c r="D6" s="141"/>
      <c r="E6" s="47"/>
      <c r="F6"/>
      <c r="G6"/>
      <c r="H6" s="1"/>
    </row>
    <row r="7" spans="1:8" ht="21.75" customHeight="1">
      <c r="A7" s="547" t="s">
        <v>473</v>
      </c>
      <c r="B7" s="548"/>
      <c r="C7" s="55">
        <f>'MS4 Stats'!C24</f>
        <v>150</v>
      </c>
      <c r="D7" s="142"/>
      <c r="E7" s="47"/>
      <c r="F7"/>
      <c r="G7"/>
      <c r="H7" s="1"/>
    </row>
    <row r="8" spans="1:8" ht="21.75" customHeight="1">
      <c r="A8" s="547" t="s">
        <v>484</v>
      </c>
      <c r="B8" s="548"/>
      <c r="C8" s="55">
        <f>'MS4 Stats'!C8</f>
        <v>200</v>
      </c>
      <c r="D8" s="142"/>
      <c r="E8" s="47"/>
      <c r="F8"/>
      <c r="G8"/>
      <c r="H8" s="1"/>
    </row>
    <row r="9" spans="1:8" ht="21.75" customHeight="1">
      <c r="A9" s="547" t="s">
        <v>475</v>
      </c>
      <c r="B9" s="548"/>
      <c r="C9" s="55">
        <f>'MS4 Stats'!C26</f>
        <v>10</v>
      </c>
      <c r="D9" s="142"/>
      <c r="E9" s="47"/>
      <c r="F9"/>
      <c r="G9"/>
      <c r="H9" s="1"/>
    </row>
    <row r="10" spans="1:8" ht="21.75" customHeight="1">
      <c r="A10" s="547" t="s">
        <v>510</v>
      </c>
      <c r="B10" s="548"/>
      <c r="C10" s="55">
        <v>20</v>
      </c>
      <c r="D10" s="142"/>
      <c r="E10" s="47"/>
      <c r="F10"/>
      <c r="G10"/>
      <c r="H10" s="1"/>
    </row>
    <row r="11" spans="1:4" ht="21.75" customHeight="1">
      <c r="A11" s="547" t="s">
        <v>476</v>
      </c>
      <c r="B11" s="548"/>
      <c r="C11" s="55">
        <v>3</v>
      </c>
      <c r="D11" s="141">
        <v>5</v>
      </c>
    </row>
    <row r="12" spans="1:4" ht="21.75" customHeight="1">
      <c r="A12" s="564" t="s">
        <v>346</v>
      </c>
      <c r="B12" s="565"/>
      <c r="C12" s="143">
        <f>'MS4 Stats'!B10</f>
        <v>100</v>
      </c>
      <c r="D12" s="144"/>
    </row>
    <row r="13" spans="3:9" ht="13.5">
      <c r="C13"/>
      <c r="E13"/>
      <c r="F13"/>
      <c r="G13"/>
      <c r="I13" s="24"/>
    </row>
    <row r="14" spans="1:8" ht="21.75" customHeight="1">
      <c r="A14" s="297" t="s">
        <v>495</v>
      </c>
      <c r="C14"/>
      <c r="D14" s="3"/>
      <c r="E14"/>
      <c r="F14"/>
      <c r="G14"/>
      <c r="H14" s="1"/>
    </row>
    <row r="15" spans="1:5" ht="21.75" customHeight="1">
      <c r="A15" s="72"/>
      <c r="B15" s="487" t="s">
        <v>479</v>
      </c>
      <c r="C15" s="487"/>
      <c r="D15" s="487" t="s">
        <v>259</v>
      </c>
      <c r="E15" s="488"/>
    </row>
    <row r="16" spans="1:5" ht="21.75" customHeight="1">
      <c r="A16" s="102"/>
      <c r="B16" s="103" t="s">
        <v>304</v>
      </c>
      <c r="C16" s="103" t="s">
        <v>305</v>
      </c>
      <c r="D16" s="103" t="s">
        <v>304</v>
      </c>
      <c r="E16" s="104" t="s">
        <v>305</v>
      </c>
    </row>
    <row r="17" spans="1:5" ht="21.75" customHeight="1">
      <c r="A17" s="85" t="s">
        <v>63</v>
      </c>
      <c r="B17" s="86">
        <f>ROUND((((M39+M48+M52+M54+M55+M56+M43+M49+M59+M62+M63+M64+M67+M68+M69+M71+M72)*$C$12)+O43+O52+O67),3-(INT(LOG((((M39+M48+M52+M54+M55+M56+M43+M49+M59+M62+M63+M64+M67+M68+M69+M71+M72)*$C$12)+O43+O52+O67))+1)))</f>
        <v>49900</v>
      </c>
      <c r="C17" s="319">
        <f>ROUND((((N39+N48+N52+N54+N55+N56+N43+N49+N59+N62+N63+N64+N67+N68+N69+N71+N72)*$C$12)+P43+P52+P67),3-(INT(LOG((((N39+N48+N52+N54+N55+N56+N43+N49+N59+N62+N63+N64+N67+N68+N69+N71+N72)*$C$12)+P43+P52+P67))+1)))</f>
        <v>102000</v>
      </c>
      <c r="D17" s="88">
        <f>ROUND((M39+M48+M52+M54+M55+M56+M59+M62+M63+M64+M67+M68+M69+M71+M72),3-(INT(LOG((M39+M48+M52+M54+M55+M56+M59+M62+M63+M64+M67+M68+M69+M71+M72))+1)))</f>
        <v>94</v>
      </c>
      <c r="E17" s="88">
        <f>ROUND((N39+N48+N52+N54+N55+N56+N59+N62+N63+N64+N67+N68+N69+N71+N72),3-(INT(LOG((N39+N48+N52+N54+N55+N56+N59+N62+N63+N64+N67+N68+N69+N71+N72))+1)))</f>
        <v>198</v>
      </c>
    </row>
    <row r="18" spans="1:5" ht="21.75" customHeight="1">
      <c r="A18" s="90" t="s">
        <v>480</v>
      </c>
      <c r="B18" s="91">
        <f>ROUND((((I37+I38+I42+I47+I51+I58+I61)*C12)+K66),3-(INT(LOG((((I37+I38+I42+I47+I51+I58+I61)*C12)+K66))+1)))</f>
        <v>28200</v>
      </c>
      <c r="C18" s="323">
        <f>ROUND((((J37+J38+J42+J47+J51+J58+J61)*C12)+L66),3-(INT(LOG((((J37+J38+J42+J47+J51+J58+J61)*C12)+L66))+1)))</f>
        <v>43400</v>
      </c>
      <c r="D18" s="92">
        <f>ROUND((I37+I38+I42+I47+I51+I55+I58+I61),3-(INT(LOG((I37+I38+I42+I47+I51+I55+I58+I61))+1)))</f>
        <v>132</v>
      </c>
      <c r="E18" s="93">
        <f>ROUND((J37+J38+J42+J47+J51+J58+J61),3-(INT(LOG((J37+J38+J42+J47+J51+J58+J61))+1)))</f>
        <v>184</v>
      </c>
    </row>
    <row r="19" spans="1:5" ht="21.75" customHeight="1">
      <c r="A19" s="94" t="s">
        <v>62</v>
      </c>
      <c r="B19" s="95">
        <f>(($M$45+$M$46+$M$70)*$C$12)*$Q$45</f>
        <v>0</v>
      </c>
      <c r="C19" s="95">
        <f>ROUND(((($N$45+$N$46+$N$70)*$C$12)*$Q$45),3-(INT(LOG(((($N$45+$N$46+$N$70)*$C$12)*$Q$45))+1)))</f>
        <v>24000</v>
      </c>
      <c r="D19" s="96">
        <f>($M$45+$M$46)*$Q$45</f>
        <v>0</v>
      </c>
      <c r="E19" s="97">
        <f>ROUND((($N$45+$N$46)*$Q$45),3-(INT(LOG((($N$45+$N$46)*$Q$45))+1)))</f>
        <v>240</v>
      </c>
    </row>
    <row r="20" spans="1:5" ht="21.75" customHeight="1">
      <c r="A20" s="180" t="s">
        <v>481</v>
      </c>
      <c r="B20" s="181">
        <f>R74</f>
        <v>278000</v>
      </c>
      <c r="C20" s="181">
        <f>S74</f>
        <v>557000</v>
      </c>
      <c r="D20" s="182">
        <f>T74</f>
        <v>602</v>
      </c>
      <c r="E20" s="183">
        <f>U74</f>
        <v>1190</v>
      </c>
    </row>
    <row r="21" spans="1:5" ht="21.75" customHeight="1">
      <c r="A21" s="184" t="s">
        <v>482</v>
      </c>
      <c r="B21" s="185"/>
      <c r="C21" s="186"/>
      <c r="D21" s="185"/>
      <c r="E21" s="187"/>
    </row>
    <row r="22" spans="1:5" ht="21.75" customHeight="1">
      <c r="A22" s="226"/>
      <c r="B22" s="26"/>
      <c r="C22" s="296"/>
      <c r="D22" s="26"/>
      <c r="E22" s="296"/>
    </row>
    <row r="23" ht="13.5">
      <c r="A23" s="297" t="s">
        <v>496</v>
      </c>
    </row>
    <row r="24" spans="1:5" ht="21.75" customHeight="1">
      <c r="A24" s="72"/>
      <c r="B24" s="487" t="s">
        <v>479</v>
      </c>
      <c r="C24" s="487"/>
      <c r="D24" s="487" t="s">
        <v>259</v>
      </c>
      <c r="E24" s="488"/>
    </row>
    <row r="25" spans="1:5" ht="21.75" customHeight="1">
      <c r="A25" s="102"/>
      <c r="B25" s="103" t="s">
        <v>304</v>
      </c>
      <c r="C25" s="103" t="s">
        <v>305</v>
      </c>
      <c r="D25" s="103" t="s">
        <v>304</v>
      </c>
      <c r="E25" s="104" t="s">
        <v>305</v>
      </c>
    </row>
    <row r="26" spans="1:5" ht="21.75" customHeight="1">
      <c r="A26" s="85" t="s">
        <v>63</v>
      </c>
      <c r="B26" s="86">
        <f>ROUND((((R39+R48+R54+R55+R56+R59+R62+R63+R64+R67+R68+R69+R71+R72)/5)+O44+O53),3-(INT(LOG((((R39+R48+R54+R55+R56+R59+R62+R63+R64+R67+R68+R69+R71+R72)/5)+O44+O53))+1)))</f>
        <v>22400</v>
      </c>
      <c r="C26" s="319">
        <f>ROUND((((S39+S48+S54+S55+S56+S59+S62+S63+S64+S67+S68+S69+S71+S72)/5)+P44+P53),3-(INT(LOG((((S39+S48+S54+S55+S56+S59+S62+S63+S64+S67+S68+S69+S71+S72)/5)+P44+P53))+1)))</f>
        <v>47700</v>
      </c>
      <c r="D26" s="88">
        <f>ROUND((M39+M48+M55+M62+M68+M69+M72),3-(INT(LOG((M39+M48+M55+M62+M68+M69+M72))+1)))</f>
        <v>94</v>
      </c>
      <c r="E26" s="88">
        <f>ROUND((N39+N48+N55+N62+N68+N69+N72),3-(INT(LOG((N39+N48+N55+N62+N68+N69+N72))+1)))</f>
        <v>198</v>
      </c>
    </row>
    <row r="27" spans="1:7" ht="21.75" customHeight="1">
      <c r="A27" s="90" t="s">
        <v>480</v>
      </c>
      <c r="B27" s="91">
        <f>ROUND((R37+R38+R42+(R44-(O44*5))+R47+R51+(R53-(O53*5))+R58+R61+R66),3-(INT(LOG((R37+R38+R42+(R44-(O44*5))+R47+R51+(R53-(O53*5))+R58+R61+R66))+1)))</f>
        <v>278000</v>
      </c>
      <c r="C27" s="323">
        <f>ROUND((S37+S38+S42+(S44-(P44*5))+S47+S51+(S53-(P53*5))+S58+S61+S66),3-(INT(LOG((S37+S38+S42+(S44-(P44*5))+S47+S51+(S53-(P53*5))+S58+S61+S66))+1)))</f>
        <v>613000</v>
      </c>
      <c r="D27" s="231">
        <f>ROUND((T37+T38+T42+T44+T47+T51+T53+T58+T61+T66),3-(INT(LOG((T37+T38+T42+T44+T47+T51+T53+T58+T61+T66))+1)))</f>
        <v>132</v>
      </c>
      <c r="E27" s="286">
        <f>ROUND((U37+U38+U42+U44+U47+U51+U53+U58+U61+U66),3-(INT(LOG((U37+U38+U42+U44+U47+U51+U53+U58+U61+U66))+1)))</f>
        <v>184</v>
      </c>
      <c r="G27" s="423"/>
    </row>
    <row r="28" spans="1:5" ht="21.75" customHeight="1">
      <c r="A28" s="94" t="s">
        <v>62</v>
      </c>
      <c r="B28" s="95">
        <f>(($M$45+$M$46+$M$70)*$C$12)*$Q$45</f>
        <v>0</v>
      </c>
      <c r="C28" s="95">
        <f>ROUND(((($N$45+$N$46+$N$70)*$C$12)*$Q$45),3-(INT(LOG(((($N$45+$N$46+$N$70)*$C$12)*$Q$45))+1)))</f>
        <v>24000</v>
      </c>
      <c r="D28" s="96">
        <f>($M$45+$M$46)*$Q$45</f>
        <v>0</v>
      </c>
      <c r="E28" s="97">
        <f>ROUND((($N$45+$N$46)*$Q$45),3-(INT(LOG((($N$45+$N$46)*$Q$45))+1)))</f>
        <v>240</v>
      </c>
    </row>
    <row r="29" spans="1:5" ht="21.75" customHeight="1">
      <c r="A29" s="180" t="s">
        <v>481</v>
      </c>
      <c r="B29" s="181">
        <f>R75</f>
        <v>390000</v>
      </c>
      <c r="C29" s="181">
        <f>S75</f>
        <v>852000</v>
      </c>
      <c r="D29" s="182">
        <f>T75</f>
        <v>602</v>
      </c>
      <c r="E29" s="183">
        <f>U75</f>
        <v>1190</v>
      </c>
    </row>
    <row r="30" spans="1:5" ht="21.75" customHeight="1">
      <c r="A30" s="184" t="s">
        <v>482</v>
      </c>
      <c r="B30" s="185"/>
      <c r="C30" s="186"/>
      <c r="D30" s="185"/>
      <c r="E30" s="187"/>
    </row>
    <row r="32" spans="3:9" ht="13.5">
      <c r="C32"/>
      <c r="E32"/>
      <c r="F32"/>
      <c r="G32"/>
      <c r="I32" s="24"/>
    </row>
    <row r="33" spans="1:24" s="62" customFormat="1" ht="73.5" customHeight="1">
      <c r="A33" s="550" t="s">
        <v>0</v>
      </c>
      <c r="B33" s="553" t="s">
        <v>29</v>
      </c>
      <c r="C33" s="556" t="s">
        <v>32</v>
      </c>
      <c r="D33" s="556" t="s">
        <v>110</v>
      </c>
      <c r="E33" s="556" t="s">
        <v>70</v>
      </c>
      <c r="F33" s="568" t="s">
        <v>382</v>
      </c>
      <c r="G33" s="568"/>
      <c r="H33" s="559" t="s">
        <v>1</v>
      </c>
      <c r="I33" s="562" t="s">
        <v>497</v>
      </c>
      <c r="J33" s="562"/>
      <c r="K33" s="562"/>
      <c r="L33" s="562"/>
      <c r="M33" s="562" t="s">
        <v>498</v>
      </c>
      <c r="N33" s="562"/>
      <c r="O33" s="562"/>
      <c r="P33" s="562"/>
      <c r="Q33" s="562"/>
      <c r="R33" s="501" t="s">
        <v>499</v>
      </c>
      <c r="S33" s="563"/>
      <c r="T33" s="563"/>
      <c r="U33" s="502"/>
      <c r="V33" s="546" t="s">
        <v>58</v>
      </c>
      <c r="W33" s="546" t="s">
        <v>261</v>
      </c>
      <c r="X33" s="140"/>
    </row>
    <row r="34" spans="1:24" s="62" customFormat="1" ht="30" customHeight="1">
      <c r="A34" s="551"/>
      <c r="B34" s="554"/>
      <c r="C34" s="557"/>
      <c r="D34" s="557"/>
      <c r="E34" s="557"/>
      <c r="F34" s="569"/>
      <c r="G34" s="569"/>
      <c r="H34" s="514"/>
      <c r="I34" s="562" t="s">
        <v>259</v>
      </c>
      <c r="J34" s="562"/>
      <c r="K34" s="549" t="s">
        <v>502</v>
      </c>
      <c r="L34" s="549"/>
      <c r="M34" s="560" t="s">
        <v>321</v>
      </c>
      <c r="N34" s="560"/>
      <c r="O34" s="549" t="s">
        <v>502</v>
      </c>
      <c r="P34" s="549"/>
      <c r="Q34" s="560" t="s">
        <v>264</v>
      </c>
      <c r="R34" s="561" t="s">
        <v>326</v>
      </c>
      <c r="S34" s="561"/>
      <c r="T34" s="561" t="s">
        <v>472</v>
      </c>
      <c r="U34" s="561"/>
      <c r="V34" s="464"/>
      <c r="W34" s="464"/>
      <c r="X34" s="140"/>
    </row>
    <row r="35" spans="1:24" s="62" customFormat="1" ht="21.75" customHeight="1">
      <c r="A35" s="552"/>
      <c r="B35" s="555"/>
      <c r="C35" s="558"/>
      <c r="D35" s="558"/>
      <c r="E35" s="558"/>
      <c r="F35" s="570"/>
      <c r="G35" s="570"/>
      <c r="H35" s="516"/>
      <c r="I35" s="138" t="s">
        <v>304</v>
      </c>
      <c r="J35" s="138" t="s">
        <v>305</v>
      </c>
      <c r="K35" s="116" t="s">
        <v>304</v>
      </c>
      <c r="L35" s="116" t="s">
        <v>305</v>
      </c>
      <c r="M35" s="139" t="s">
        <v>304</v>
      </c>
      <c r="N35" s="139" t="s">
        <v>305</v>
      </c>
      <c r="O35" s="116" t="s">
        <v>304</v>
      </c>
      <c r="P35" s="116" t="s">
        <v>305</v>
      </c>
      <c r="Q35" s="560"/>
      <c r="R35" s="138" t="s">
        <v>304</v>
      </c>
      <c r="S35" s="138" t="s">
        <v>305</v>
      </c>
      <c r="T35" s="138" t="s">
        <v>304</v>
      </c>
      <c r="U35" s="138" t="s">
        <v>305</v>
      </c>
      <c r="V35" s="465"/>
      <c r="W35" s="465"/>
      <c r="X35" s="140"/>
    </row>
    <row r="36" spans="1:36" s="16" customFormat="1" ht="36" customHeight="1">
      <c r="A36" s="147">
        <v>1</v>
      </c>
      <c r="B36" s="147"/>
      <c r="C36" s="148"/>
      <c r="D36" s="148"/>
      <c r="E36" s="148"/>
      <c r="F36" s="147" t="s">
        <v>383</v>
      </c>
      <c r="G36" s="147"/>
      <c r="H36" s="576"/>
      <c r="I36" s="576"/>
      <c r="J36" s="576"/>
      <c r="K36" s="576"/>
      <c r="L36" s="576"/>
      <c r="M36" s="576"/>
      <c r="N36" s="576"/>
      <c r="O36" s="576"/>
      <c r="P36" s="576"/>
      <c r="Q36" s="576"/>
      <c r="R36" s="576"/>
      <c r="S36" s="576"/>
      <c r="T36" s="576"/>
      <c r="U36" s="576"/>
      <c r="V36" s="576"/>
      <c r="W36" s="576"/>
      <c r="X36" s="146"/>
      <c r="Y36" s="146"/>
      <c r="Z36" s="146"/>
      <c r="AA36" s="146"/>
      <c r="AB36" s="146"/>
      <c r="AC36" s="146"/>
      <c r="AD36" s="146"/>
      <c r="AE36" s="146"/>
      <c r="AF36" s="146"/>
      <c r="AG36" s="146"/>
      <c r="AH36" s="146"/>
      <c r="AI36" s="146"/>
      <c r="AJ36" s="146"/>
    </row>
    <row r="37" spans="1:23" s="16" customFormat="1" ht="36" customHeight="1">
      <c r="A37" s="149">
        <v>1.1</v>
      </c>
      <c r="B37" s="149" t="s">
        <v>2</v>
      </c>
      <c r="C37" s="149" t="s">
        <v>59</v>
      </c>
      <c r="D37" s="150" t="s">
        <v>61</v>
      </c>
      <c r="E37" s="149"/>
      <c r="F37" s="566" t="s">
        <v>384</v>
      </c>
      <c r="G37" s="566"/>
      <c r="H37" s="62" t="s">
        <v>606</v>
      </c>
      <c r="I37" s="151">
        <v>16</v>
      </c>
      <c r="J37" s="151">
        <v>20</v>
      </c>
      <c r="K37" s="152"/>
      <c r="L37" s="152"/>
      <c r="M37" s="153"/>
      <c r="N37" s="153"/>
      <c r="O37" s="152"/>
      <c r="P37" s="152"/>
      <c r="Q37" s="153">
        <v>1</v>
      </c>
      <c r="R37" s="83">
        <f>((I37*$C$12+K37)+((M37*$C$12+O37))*Q37)</f>
        <v>1600</v>
      </c>
      <c r="S37" s="83">
        <f>J37*$C$12+L37+((N37*$C$12+P37)*Q37)</f>
        <v>2000</v>
      </c>
      <c r="T37" s="154">
        <f>I37+(M37*5)</f>
        <v>16</v>
      </c>
      <c r="U37" s="154">
        <f aca="true" t="shared" si="0" ref="T37:U39">J37+(N37*5)</f>
        <v>20</v>
      </c>
      <c r="V37" s="80" t="s">
        <v>503</v>
      </c>
      <c r="W37" s="77" t="s">
        <v>469</v>
      </c>
    </row>
    <row r="38" spans="1:23" s="48" customFormat="1" ht="36" customHeight="1">
      <c r="A38" s="149">
        <v>1.2</v>
      </c>
      <c r="B38" s="149" t="s">
        <v>2</v>
      </c>
      <c r="C38" s="149" t="s">
        <v>59</v>
      </c>
      <c r="D38" s="150" t="s">
        <v>61</v>
      </c>
      <c r="E38" s="149"/>
      <c r="F38" s="566" t="s">
        <v>385</v>
      </c>
      <c r="G38" s="566"/>
      <c r="H38" s="62" t="s">
        <v>606</v>
      </c>
      <c r="I38" s="77">
        <v>48</v>
      </c>
      <c r="J38" s="77">
        <v>48</v>
      </c>
      <c r="K38" s="77"/>
      <c r="L38" s="77"/>
      <c r="M38" s="77"/>
      <c r="N38" s="77"/>
      <c r="O38" s="77"/>
      <c r="P38" s="77"/>
      <c r="Q38" s="77">
        <v>1</v>
      </c>
      <c r="R38" s="83">
        <f>((I38*$C$12+K38)+((M38*$C$12+O38))*Q38)</f>
        <v>4800</v>
      </c>
      <c r="S38" s="83">
        <f>J38*$C$12+L38+((N38*$C$12+P38)*Q38)</f>
        <v>4800</v>
      </c>
      <c r="T38" s="154">
        <f t="shared" si="0"/>
        <v>48</v>
      </c>
      <c r="U38" s="154">
        <f t="shared" si="0"/>
        <v>48</v>
      </c>
      <c r="V38" s="80" t="s">
        <v>386</v>
      </c>
      <c r="W38" s="80" t="s">
        <v>436</v>
      </c>
    </row>
    <row r="39" spans="1:23" s="47" customFormat="1" ht="36" customHeight="1">
      <c r="A39" s="149">
        <v>1.3</v>
      </c>
      <c r="B39" s="149"/>
      <c r="C39" s="149"/>
      <c r="D39" s="155" t="s">
        <v>63</v>
      </c>
      <c r="E39" s="149"/>
      <c r="F39" s="492" t="s">
        <v>387</v>
      </c>
      <c r="G39" s="492"/>
      <c r="H39" s="62" t="s">
        <v>606</v>
      </c>
      <c r="I39" s="77"/>
      <c r="J39" s="77"/>
      <c r="K39" s="77"/>
      <c r="L39" s="77"/>
      <c r="M39" s="77">
        <v>8</v>
      </c>
      <c r="N39" s="77">
        <v>8</v>
      </c>
      <c r="O39" s="77"/>
      <c r="P39" s="77"/>
      <c r="Q39" s="77">
        <v>5</v>
      </c>
      <c r="R39" s="83">
        <f>((I39*$C$12+K39)+((M39*$C$12+O39))*Q39)</f>
        <v>4000</v>
      </c>
      <c r="S39" s="83">
        <f>J39*$C$12+L39+((N39*$C$12+P39)*Q39)</f>
        <v>4000</v>
      </c>
      <c r="T39" s="154">
        <f t="shared" si="0"/>
        <v>40</v>
      </c>
      <c r="U39" s="154">
        <f t="shared" si="0"/>
        <v>40</v>
      </c>
      <c r="V39" s="80"/>
      <c r="W39" s="77" t="s">
        <v>469</v>
      </c>
    </row>
    <row r="40" spans="1:23" s="47" customFormat="1" ht="36" customHeight="1">
      <c r="A40" s="156">
        <v>2</v>
      </c>
      <c r="B40" s="156"/>
      <c r="C40" s="156"/>
      <c r="D40" s="156"/>
      <c r="E40" s="156"/>
      <c r="F40" s="156" t="s">
        <v>388</v>
      </c>
      <c r="G40" s="156"/>
      <c r="H40" s="577"/>
      <c r="I40" s="577"/>
      <c r="J40" s="577"/>
      <c r="K40" s="577"/>
      <c r="L40" s="577"/>
      <c r="M40" s="577"/>
      <c r="N40" s="577"/>
      <c r="O40" s="577"/>
      <c r="P40" s="577"/>
      <c r="Q40" s="577"/>
      <c r="R40" s="577"/>
      <c r="S40" s="577"/>
      <c r="T40" s="577"/>
      <c r="U40" s="577"/>
      <c r="V40" s="577"/>
      <c r="W40" s="577"/>
    </row>
    <row r="41" spans="1:23" s="47" customFormat="1" ht="36" customHeight="1">
      <c r="A41" s="157">
        <v>2.1</v>
      </c>
      <c r="B41" s="157"/>
      <c r="C41" s="157"/>
      <c r="D41" s="157"/>
      <c r="E41" s="157"/>
      <c r="F41" s="574" t="s">
        <v>389</v>
      </c>
      <c r="G41" s="574"/>
      <c r="H41" s="573"/>
      <c r="I41" s="573"/>
      <c r="J41" s="573"/>
      <c r="K41" s="573"/>
      <c r="L41" s="573"/>
      <c r="M41" s="573"/>
      <c r="N41" s="573"/>
      <c r="O41" s="573"/>
      <c r="P41" s="573"/>
      <c r="Q41" s="573"/>
      <c r="R41" s="573"/>
      <c r="S41" s="573"/>
      <c r="T41" s="573"/>
      <c r="U41" s="573"/>
      <c r="V41" s="573"/>
      <c r="W41" s="573"/>
    </row>
    <row r="42" spans="1:23" s="49" customFormat="1" ht="36" customHeight="1">
      <c r="A42" s="149" t="s">
        <v>176</v>
      </c>
      <c r="B42" s="149" t="s">
        <v>145</v>
      </c>
      <c r="C42" s="77" t="s">
        <v>59</v>
      </c>
      <c r="D42" s="158" t="s">
        <v>390</v>
      </c>
      <c r="E42" s="77"/>
      <c r="F42" s="566" t="s">
        <v>391</v>
      </c>
      <c r="G42" s="566"/>
      <c r="H42" s="62" t="s">
        <v>607</v>
      </c>
      <c r="I42" s="77">
        <v>24</v>
      </c>
      <c r="J42" s="77">
        <v>36</v>
      </c>
      <c r="K42" s="78"/>
      <c r="L42" s="78"/>
      <c r="M42" s="77"/>
      <c r="N42" s="77"/>
      <c r="O42" s="77"/>
      <c r="P42" s="77"/>
      <c r="Q42" s="77">
        <v>1</v>
      </c>
      <c r="R42" s="83">
        <f aca="true" t="shared" si="1" ref="R42:R49">((I42*$C$12+K42)+((M42*$C$12+O42))*Q42)</f>
        <v>2400</v>
      </c>
      <c r="S42" s="83">
        <f aca="true" t="shared" si="2" ref="S42:S48">J42*$C$12+L42+((N42*$C$12+P42)*Q42)</f>
        <v>3600</v>
      </c>
      <c r="T42" s="154">
        <f>I42+(M42*5)</f>
        <v>24</v>
      </c>
      <c r="U42" s="154">
        <f>J42+(N42*5)</f>
        <v>36</v>
      </c>
      <c r="V42" s="80" t="s">
        <v>437</v>
      </c>
      <c r="W42" s="77" t="s">
        <v>469</v>
      </c>
    </row>
    <row r="43" spans="1:23" s="47" customFormat="1" ht="36" customHeight="1">
      <c r="A43" s="149" t="s">
        <v>177</v>
      </c>
      <c r="B43" s="149" t="s">
        <v>144</v>
      </c>
      <c r="C43" s="77"/>
      <c r="D43" s="159" t="s">
        <v>63</v>
      </c>
      <c r="E43" s="77"/>
      <c r="F43" s="500" t="s">
        <v>597</v>
      </c>
      <c r="G43" s="500"/>
      <c r="H43" s="62" t="s">
        <v>608</v>
      </c>
      <c r="I43" s="117"/>
      <c r="J43" s="117"/>
      <c r="K43" s="77"/>
      <c r="L43" s="77"/>
      <c r="M43" s="77"/>
      <c r="N43" s="77"/>
      <c r="O43" s="78">
        <f>$C$6*50</f>
        <v>30000</v>
      </c>
      <c r="P43" s="78">
        <f>$C$6*100</f>
        <v>60000</v>
      </c>
      <c r="Q43" s="77">
        <v>5</v>
      </c>
      <c r="R43" s="291">
        <f t="shared" si="1"/>
        <v>150000</v>
      </c>
      <c r="S43" s="291">
        <f t="shared" si="2"/>
        <v>300000</v>
      </c>
      <c r="T43" s="292">
        <f aca="true" t="shared" si="3" ref="T43:T49">I43+(M43*5)</f>
        <v>0</v>
      </c>
      <c r="U43" s="292">
        <f aca="true" t="shared" si="4" ref="U43:U49">J43+(N43*5)</f>
        <v>0</v>
      </c>
      <c r="V43" s="80" t="s">
        <v>438</v>
      </c>
      <c r="W43" s="80" t="s">
        <v>392</v>
      </c>
    </row>
    <row r="44" spans="1:23" s="47" customFormat="1" ht="36" customHeight="1">
      <c r="A44" s="149"/>
      <c r="B44" s="149"/>
      <c r="C44" s="77"/>
      <c r="D44" s="158" t="s">
        <v>480</v>
      </c>
      <c r="E44" s="77"/>
      <c r="F44" s="572" t="s">
        <v>598</v>
      </c>
      <c r="G44" s="572"/>
      <c r="H44" s="62" t="s">
        <v>608</v>
      </c>
      <c r="I44" s="117"/>
      <c r="J44" s="117"/>
      <c r="K44" s="290">
        <v>125000</v>
      </c>
      <c r="L44" s="290">
        <v>320000</v>
      </c>
      <c r="M44" s="77"/>
      <c r="N44" s="77"/>
      <c r="O44" s="445">
        <v>5000</v>
      </c>
      <c r="P44" s="445">
        <v>10000</v>
      </c>
      <c r="Q44" s="428">
        <v>1</v>
      </c>
      <c r="R44" s="293">
        <f>(((I44*$C$12+K44))+((M44*$C$12+O44))*5)</f>
        <v>150000</v>
      </c>
      <c r="S44" s="293">
        <f>((J44*$C$12+L44))+((N44*$C$12+P44)*5)</f>
        <v>370000</v>
      </c>
      <c r="T44" s="294">
        <f t="shared" si="3"/>
        <v>0</v>
      </c>
      <c r="U44" s="294">
        <f>J44+(N44*5)</f>
        <v>0</v>
      </c>
      <c r="V44" s="63" t="s">
        <v>584</v>
      </c>
      <c r="W44" s="80" t="s">
        <v>585</v>
      </c>
    </row>
    <row r="45" spans="1:23" s="47" customFormat="1" ht="45" customHeight="1">
      <c r="A45" s="149" t="s">
        <v>393</v>
      </c>
      <c r="B45" s="149" t="s">
        <v>144</v>
      </c>
      <c r="C45" s="77"/>
      <c r="D45" s="160" t="s">
        <v>62</v>
      </c>
      <c r="E45" s="77"/>
      <c r="F45" s="567" t="s">
        <v>394</v>
      </c>
      <c r="G45" s="567"/>
      <c r="H45" s="62" t="s">
        <v>608</v>
      </c>
      <c r="I45" s="77"/>
      <c r="J45" s="77"/>
      <c r="K45" s="77"/>
      <c r="L45" s="77"/>
      <c r="M45" s="77">
        <v>0</v>
      </c>
      <c r="N45" s="77">
        <f>C8*0.2</f>
        <v>40</v>
      </c>
      <c r="O45" s="77"/>
      <c r="P45" s="77"/>
      <c r="Q45" s="77">
        <v>5</v>
      </c>
      <c r="R45" s="161">
        <f t="shared" si="1"/>
        <v>0</v>
      </c>
      <c r="S45" s="161">
        <f t="shared" si="2"/>
        <v>20000</v>
      </c>
      <c r="T45" s="162">
        <f t="shared" si="3"/>
        <v>0</v>
      </c>
      <c r="U45" s="162">
        <f t="shared" si="4"/>
        <v>200</v>
      </c>
      <c r="V45" s="427" t="s">
        <v>583</v>
      </c>
      <c r="W45" s="77" t="s">
        <v>469</v>
      </c>
    </row>
    <row r="46" spans="1:23" s="47" customFormat="1" ht="36" customHeight="1">
      <c r="A46" s="149" t="s">
        <v>395</v>
      </c>
      <c r="B46" s="149" t="s">
        <v>2</v>
      </c>
      <c r="C46" s="77"/>
      <c r="D46" s="160" t="s">
        <v>62</v>
      </c>
      <c r="E46" s="77"/>
      <c r="F46" s="571" t="s">
        <v>396</v>
      </c>
      <c r="G46" s="571"/>
      <c r="H46" s="62" t="s">
        <v>608</v>
      </c>
      <c r="I46" s="77"/>
      <c r="J46" s="77"/>
      <c r="K46" s="77"/>
      <c r="L46" s="77"/>
      <c r="M46" s="77">
        <v>0</v>
      </c>
      <c r="N46" s="77">
        <v>8</v>
      </c>
      <c r="O46" s="77"/>
      <c r="P46" s="77"/>
      <c r="Q46" s="77">
        <v>5</v>
      </c>
      <c r="R46" s="161">
        <f t="shared" si="1"/>
        <v>0</v>
      </c>
      <c r="S46" s="161">
        <f t="shared" si="2"/>
        <v>4000</v>
      </c>
      <c r="T46" s="162">
        <f t="shared" si="3"/>
        <v>0</v>
      </c>
      <c r="U46" s="162">
        <f t="shared" si="4"/>
        <v>40</v>
      </c>
      <c r="V46" s="80" t="s">
        <v>439</v>
      </c>
      <c r="W46" s="505" t="s">
        <v>469</v>
      </c>
    </row>
    <row r="47" spans="1:23" s="47" customFormat="1" ht="36" customHeight="1">
      <c r="A47" s="149" t="s">
        <v>397</v>
      </c>
      <c r="B47" s="149" t="s">
        <v>87</v>
      </c>
      <c r="C47" s="77" t="s">
        <v>59</v>
      </c>
      <c r="D47" s="163" t="s">
        <v>61</v>
      </c>
      <c r="E47" s="77" t="s">
        <v>71</v>
      </c>
      <c r="F47" s="572" t="s">
        <v>398</v>
      </c>
      <c r="G47" s="572"/>
      <c r="H47" s="62" t="s">
        <v>608</v>
      </c>
      <c r="I47" s="77">
        <v>8</v>
      </c>
      <c r="J47" s="77">
        <v>16</v>
      </c>
      <c r="K47" s="77"/>
      <c r="L47" s="77"/>
      <c r="M47" s="77"/>
      <c r="N47" s="77"/>
      <c r="O47" s="77"/>
      <c r="P47" s="77"/>
      <c r="Q47" s="77">
        <v>1</v>
      </c>
      <c r="R47" s="83">
        <f t="shared" si="1"/>
        <v>800</v>
      </c>
      <c r="S47" s="83">
        <f t="shared" si="2"/>
        <v>1600</v>
      </c>
      <c r="T47" s="154">
        <f t="shared" si="3"/>
        <v>8</v>
      </c>
      <c r="U47" s="154">
        <f t="shared" si="4"/>
        <v>16</v>
      </c>
      <c r="V47" s="80" t="s">
        <v>440</v>
      </c>
      <c r="W47" s="505"/>
    </row>
    <row r="48" spans="1:23" s="47" customFormat="1" ht="36" customHeight="1">
      <c r="A48" s="149" t="s">
        <v>399</v>
      </c>
      <c r="B48" s="149" t="s">
        <v>144</v>
      </c>
      <c r="C48" s="77"/>
      <c r="D48" s="164" t="s">
        <v>63</v>
      </c>
      <c r="E48" s="77"/>
      <c r="F48" s="500" t="s">
        <v>400</v>
      </c>
      <c r="G48" s="500"/>
      <c r="H48" s="62" t="s">
        <v>608</v>
      </c>
      <c r="I48" s="77"/>
      <c r="J48" s="77"/>
      <c r="K48" s="77"/>
      <c r="L48" s="77"/>
      <c r="M48" s="77">
        <v>16</v>
      </c>
      <c r="N48" s="77">
        <v>24</v>
      </c>
      <c r="O48" s="77"/>
      <c r="P48" s="77"/>
      <c r="Q48" s="77">
        <v>5</v>
      </c>
      <c r="R48" s="83">
        <f t="shared" si="1"/>
        <v>8000</v>
      </c>
      <c r="S48" s="83">
        <f t="shared" si="2"/>
        <v>12000</v>
      </c>
      <c r="T48" s="154">
        <f t="shared" si="3"/>
        <v>80</v>
      </c>
      <c r="U48" s="154">
        <f t="shared" si="4"/>
        <v>120</v>
      </c>
      <c r="V48" s="80"/>
      <c r="W48" s="505"/>
    </row>
    <row r="49" spans="1:23" s="47" customFormat="1" ht="36" customHeight="1">
      <c r="A49" s="149" t="s">
        <v>401</v>
      </c>
      <c r="B49" s="149" t="s">
        <v>2</v>
      </c>
      <c r="C49" s="77"/>
      <c r="D49" s="165" t="s">
        <v>63</v>
      </c>
      <c r="E49" s="77" t="s">
        <v>71</v>
      </c>
      <c r="F49" s="492" t="s">
        <v>173</v>
      </c>
      <c r="G49" s="492"/>
      <c r="H49" s="62" t="s">
        <v>608</v>
      </c>
      <c r="I49" s="166"/>
      <c r="J49" s="166"/>
      <c r="K49" s="83"/>
      <c r="L49" s="83"/>
      <c r="M49" s="166"/>
      <c r="N49" s="166"/>
      <c r="O49" s="83"/>
      <c r="P49" s="83"/>
      <c r="Q49" s="151">
        <v>5</v>
      </c>
      <c r="R49" s="167">
        <f t="shared" si="1"/>
        <v>0</v>
      </c>
      <c r="S49" s="167">
        <f>((J49*$C$12+L49)+((N49*$C$12+P49))*Q49)</f>
        <v>0</v>
      </c>
      <c r="T49" s="154">
        <f t="shared" si="3"/>
        <v>0</v>
      </c>
      <c r="U49" s="154">
        <f t="shared" si="4"/>
        <v>0</v>
      </c>
      <c r="V49" s="80" t="s">
        <v>463</v>
      </c>
      <c r="W49" s="77"/>
    </row>
    <row r="50" spans="1:23" s="47" customFormat="1" ht="36" customHeight="1">
      <c r="A50" s="157">
        <v>2.2</v>
      </c>
      <c r="B50" s="157"/>
      <c r="C50" s="157"/>
      <c r="D50" s="157"/>
      <c r="E50" s="157"/>
      <c r="F50" s="574" t="s">
        <v>174</v>
      </c>
      <c r="G50" s="574"/>
      <c r="H50" s="573"/>
      <c r="I50" s="573"/>
      <c r="J50" s="573"/>
      <c r="K50" s="573"/>
      <c r="L50" s="573"/>
      <c r="M50" s="573"/>
      <c r="N50" s="573"/>
      <c r="O50" s="573"/>
      <c r="P50" s="573"/>
      <c r="Q50" s="573"/>
      <c r="R50" s="573"/>
      <c r="S50" s="573"/>
      <c r="T50" s="573"/>
      <c r="U50" s="573"/>
      <c r="V50" s="573"/>
      <c r="W50" s="573"/>
    </row>
    <row r="51" spans="1:23" s="47" customFormat="1" ht="48" customHeight="1">
      <c r="A51" s="149" t="s">
        <v>402</v>
      </c>
      <c r="B51" s="149" t="s">
        <v>145</v>
      </c>
      <c r="C51" s="77" t="s">
        <v>59</v>
      </c>
      <c r="D51" s="168" t="s">
        <v>61</v>
      </c>
      <c r="E51" s="77"/>
      <c r="F51" s="566" t="s">
        <v>403</v>
      </c>
      <c r="G51" s="566"/>
      <c r="H51" s="62" t="s">
        <v>609</v>
      </c>
      <c r="I51" s="166">
        <v>16</v>
      </c>
      <c r="J51" s="166">
        <v>24</v>
      </c>
      <c r="K51" s="83"/>
      <c r="L51" s="83"/>
      <c r="M51" s="166"/>
      <c r="N51" s="166"/>
      <c r="O51" s="83"/>
      <c r="P51" s="83"/>
      <c r="Q51" s="151">
        <v>1</v>
      </c>
      <c r="R51" s="167">
        <f aca="true" t="shared" si="5" ref="R51:R56">((I51*$C$12+K51)+((M51*$C$12+O51))*Q51)</f>
        <v>1600</v>
      </c>
      <c r="S51" s="167">
        <f aca="true" t="shared" si="6" ref="S51:S56">((J51*$C$12+L51)+((N51*$C$12+P51))*Q51)</f>
        <v>2400</v>
      </c>
      <c r="T51" s="154">
        <f aca="true" t="shared" si="7" ref="T51:U56">I51+(M51*5)</f>
        <v>16</v>
      </c>
      <c r="U51" s="154">
        <f t="shared" si="7"/>
        <v>24</v>
      </c>
      <c r="V51" s="80" t="s">
        <v>437</v>
      </c>
      <c r="W51" s="169" t="s">
        <v>469</v>
      </c>
    </row>
    <row r="52" spans="1:23" s="47" customFormat="1" ht="36" customHeight="1">
      <c r="A52" s="149" t="s">
        <v>404</v>
      </c>
      <c r="B52" s="149" t="s">
        <v>144</v>
      </c>
      <c r="C52" s="77"/>
      <c r="D52" s="165" t="s">
        <v>63</v>
      </c>
      <c r="E52" s="77"/>
      <c r="F52" s="500" t="s">
        <v>405</v>
      </c>
      <c r="G52" s="500"/>
      <c r="H52" s="62" t="s">
        <v>609</v>
      </c>
      <c r="I52" s="166"/>
      <c r="J52" s="166"/>
      <c r="K52" s="83"/>
      <c r="L52" s="83"/>
      <c r="M52" s="166"/>
      <c r="N52" s="166"/>
      <c r="O52" s="83">
        <f>C7*50</f>
        <v>7500</v>
      </c>
      <c r="P52" s="83">
        <f>C7*100</f>
        <v>15000</v>
      </c>
      <c r="Q52" s="151">
        <v>5</v>
      </c>
      <c r="R52" s="295">
        <f t="shared" si="5"/>
        <v>37500</v>
      </c>
      <c r="S52" s="295">
        <f t="shared" si="6"/>
        <v>75000</v>
      </c>
      <c r="T52" s="292">
        <f t="shared" si="7"/>
        <v>0</v>
      </c>
      <c r="U52" s="292">
        <f t="shared" si="7"/>
        <v>0</v>
      </c>
      <c r="V52" s="84" t="s">
        <v>441</v>
      </c>
      <c r="W52" s="77" t="s">
        <v>392</v>
      </c>
    </row>
    <row r="53" spans="1:23" s="47" customFormat="1" ht="36" customHeight="1">
      <c r="A53" s="149"/>
      <c r="B53" s="149"/>
      <c r="C53" s="77"/>
      <c r="D53" s="168" t="s">
        <v>61</v>
      </c>
      <c r="E53" s="77"/>
      <c r="F53" s="572" t="s">
        <v>405</v>
      </c>
      <c r="G53" s="572"/>
      <c r="H53" s="62" t="s">
        <v>609</v>
      </c>
      <c r="I53" s="166"/>
      <c r="J53" s="166"/>
      <c r="K53" s="50">
        <v>125000</v>
      </c>
      <c r="L53" s="51">
        <v>250000</v>
      </c>
      <c r="M53" s="166"/>
      <c r="N53" s="166"/>
      <c r="O53" s="83">
        <v>5000</v>
      </c>
      <c r="P53" s="83">
        <v>10000</v>
      </c>
      <c r="Q53" s="151">
        <v>1</v>
      </c>
      <c r="R53" s="293">
        <f>(((I53*$C$12+K53))+((M53*$C$12+O53))*5)</f>
        <v>150000</v>
      </c>
      <c r="S53" s="293">
        <f>((J53*$C$12+L53))+((N53*$C$12+P53)*5)</f>
        <v>300000</v>
      </c>
      <c r="T53" s="294">
        <f>I53+(M53*5)</f>
        <v>0</v>
      </c>
      <c r="U53" s="294">
        <f>J53+(N53*5)</f>
        <v>0</v>
      </c>
      <c r="V53" s="63" t="s">
        <v>595</v>
      </c>
      <c r="W53" s="77"/>
    </row>
    <row r="54" spans="1:23" s="47" customFormat="1" ht="36" customHeight="1">
      <c r="A54" s="149" t="s">
        <v>406</v>
      </c>
      <c r="B54" s="149" t="s">
        <v>2</v>
      </c>
      <c r="C54" s="77"/>
      <c r="D54" s="159" t="s">
        <v>63</v>
      </c>
      <c r="E54" s="77" t="s">
        <v>71</v>
      </c>
      <c r="F54" s="500" t="s">
        <v>407</v>
      </c>
      <c r="G54" s="500"/>
      <c r="H54" s="62" t="s">
        <v>609</v>
      </c>
      <c r="I54" s="166"/>
      <c r="J54" s="166"/>
      <c r="K54" s="83"/>
      <c r="L54" s="83"/>
      <c r="M54" s="166"/>
      <c r="N54" s="166"/>
      <c r="O54" s="83"/>
      <c r="P54" s="83"/>
      <c r="Q54" s="151">
        <v>5</v>
      </c>
      <c r="R54" s="167">
        <f t="shared" si="5"/>
        <v>0</v>
      </c>
      <c r="S54" s="167">
        <f t="shared" si="6"/>
        <v>0</v>
      </c>
      <c r="T54" s="154">
        <f t="shared" si="7"/>
        <v>0</v>
      </c>
      <c r="U54" s="154">
        <f t="shared" si="7"/>
        <v>0</v>
      </c>
      <c r="V54" s="77" t="s">
        <v>464</v>
      </c>
      <c r="W54" s="77"/>
    </row>
    <row r="55" spans="1:23" s="47" customFormat="1" ht="36" customHeight="1">
      <c r="A55" s="149" t="s">
        <v>408</v>
      </c>
      <c r="B55" s="149" t="s">
        <v>144</v>
      </c>
      <c r="C55" s="77"/>
      <c r="D55" s="165" t="s">
        <v>63</v>
      </c>
      <c r="E55" s="77" t="s">
        <v>71</v>
      </c>
      <c r="F55" s="492" t="s">
        <v>409</v>
      </c>
      <c r="G55" s="492"/>
      <c r="H55" s="62" t="s">
        <v>609</v>
      </c>
      <c r="I55" s="166">
        <v>0</v>
      </c>
      <c r="J55" s="166">
        <v>20</v>
      </c>
      <c r="K55" s="83"/>
      <c r="L55" s="83"/>
      <c r="M55" s="166">
        <v>0</v>
      </c>
      <c r="N55" s="166">
        <v>10</v>
      </c>
      <c r="O55" s="83"/>
      <c r="P55" s="83"/>
      <c r="Q55" s="151">
        <v>5</v>
      </c>
      <c r="R55" s="167">
        <f t="shared" si="5"/>
        <v>0</v>
      </c>
      <c r="S55" s="167">
        <f t="shared" si="6"/>
        <v>7000</v>
      </c>
      <c r="T55" s="154">
        <f t="shared" si="7"/>
        <v>0</v>
      </c>
      <c r="U55" s="154">
        <f t="shared" si="7"/>
        <v>70</v>
      </c>
      <c r="V55" s="84" t="s">
        <v>517</v>
      </c>
      <c r="W55" s="169" t="s">
        <v>469</v>
      </c>
    </row>
    <row r="56" spans="1:23" s="47" customFormat="1" ht="36" customHeight="1">
      <c r="A56" s="149" t="s">
        <v>410</v>
      </c>
      <c r="B56" s="149" t="s">
        <v>144</v>
      </c>
      <c r="C56" s="77"/>
      <c r="D56" s="170" t="s">
        <v>60</v>
      </c>
      <c r="E56" s="77"/>
      <c r="F56" s="492" t="s">
        <v>411</v>
      </c>
      <c r="G56" s="492"/>
      <c r="H56" s="62" t="s">
        <v>610</v>
      </c>
      <c r="I56" s="166"/>
      <c r="J56" s="166"/>
      <c r="K56" s="83"/>
      <c r="L56" s="83"/>
      <c r="M56" s="166"/>
      <c r="N56" s="166"/>
      <c r="O56" s="83"/>
      <c r="P56" s="83"/>
      <c r="Q56" s="151">
        <v>5</v>
      </c>
      <c r="R56" s="167">
        <f t="shared" si="5"/>
        <v>0</v>
      </c>
      <c r="S56" s="167">
        <f t="shared" si="6"/>
        <v>0</v>
      </c>
      <c r="T56" s="154">
        <f t="shared" si="7"/>
        <v>0</v>
      </c>
      <c r="U56" s="154">
        <f t="shared" si="7"/>
        <v>0</v>
      </c>
      <c r="V56" s="80" t="s">
        <v>442</v>
      </c>
      <c r="W56" s="169" t="s">
        <v>469</v>
      </c>
    </row>
    <row r="57" spans="1:24" s="47" customFormat="1" ht="36" customHeight="1">
      <c r="A57" s="157">
        <v>2.3</v>
      </c>
      <c r="B57" s="157"/>
      <c r="C57" s="157"/>
      <c r="D57" s="171"/>
      <c r="E57" s="157"/>
      <c r="F57" s="574" t="s">
        <v>412</v>
      </c>
      <c r="G57" s="574"/>
      <c r="H57" s="573"/>
      <c r="I57" s="573"/>
      <c r="J57" s="573"/>
      <c r="K57" s="573"/>
      <c r="L57" s="573"/>
      <c r="M57" s="573"/>
      <c r="N57" s="573"/>
      <c r="O57" s="573"/>
      <c r="P57" s="573"/>
      <c r="Q57" s="573"/>
      <c r="R57" s="573"/>
      <c r="S57" s="573"/>
      <c r="T57" s="573"/>
      <c r="U57" s="573"/>
      <c r="V57" s="573"/>
      <c r="W57" s="573"/>
      <c r="X57"/>
    </row>
    <row r="58" spans="1:24" s="47" customFormat="1" ht="36" customHeight="1">
      <c r="A58" s="149" t="s">
        <v>413</v>
      </c>
      <c r="B58" s="149" t="s">
        <v>145</v>
      </c>
      <c r="C58" s="77" t="s">
        <v>59</v>
      </c>
      <c r="D58" s="172" t="s">
        <v>61</v>
      </c>
      <c r="E58" s="77"/>
      <c r="F58" s="566" t="s">
        <v>414</v>
      </c>
      <c r="G58" s="566"/>
      <c r="H58" s="62" t="s">
        <v>611</v>
      </c>
      <c r="I58" s="166">
        <v>8</v>
      </c>
      <c r="J58" s="166">
        <v>16</v>
      </c>
      <c r="K58" s="83"/>
      <c r="L58" s="83"/>
      <c r="M58" s="166"/>
      <c r="N58" s="166"/>
      <c r="O58" s="83"/>
      <c r="P58" s="83"/>
      <c r="Q58" s="151">
        <v>1</v>
      </c>
      <c r="R58" s="167">
        <f>((I58*$C$12+K58)+((M58*$C$12+O58))*Q58)</f>
        <v>800</v>
      </c>
      <c r="S58" s="167">
        <f>((J58*$C$12+L58)+((N58*$C$12+P58))*Q58)</f>
        <v>1600</v>
      </c>
      <c r="T58" s="154">
        <f>I58+(M58*5)</f>
        <v>8</v>
      </c>
      <c r="U58" s="154">
        <f>J58+(N58*5)</f>
        <v>16</v>
      </c>
      <c r="V58" s="77"/>
      <c r="W58" s="169" t="s">
        <v>469</v>
      </c>
      <c r="X58"/>
    </row>
    <row r="59" spans="1:23" s="47" customFormat="1" ht="36" customHeight="1">
      <c r="A59" s="149" t="s">
        <v>415</v>
      </c>
      <c r="B59" s="149" t="s">
        <v>144</v>
      </c>
      <c r="C59" s="77"/>
      <c r="D59" s="170" t="s">
        <v>63</v>
      </c>
      <c r="E59" s="77"/>
      <c r="F59" s="500" t="s">
        <v>416</v>
      </c>
      <c r="G59" s="500"/>
      <c r="H59" s="62" t="s">
        <v>611</v>
      </c>
      <c r="I59" s="166"/>
      <c r="J59" s="166"/>
      <c r="K59" s="83"/>
      <c r="L59" s="83"/>
      <c r="M59" s="166"/>
      <c r="N59" s="166"/>
      <c r="O59" s="83"/>
      <c r="P59" s="83"/>
      <c r="Q59" s="151">
        <v>5</v>
      </c>
      <c r="R59" s="167">
        <f>((I59*$C$12+K59)+((M59*$C$12+O59))*Q59)</f>
        <v>0</v>
      </c>
      <c r="S59" s="167">
        <f>((J59*$C$12+L59)+((N59*$C$12+P59))*Q59)</f>
        <v>0</v>
      </c>
      <c r="T59" s="154">
        <f>I59+(M59*5)</f>
        <v>0</v>
      </c>
      <c r="U59" s="154">
        <f>J59+(N59*5)</f>
        <v>0</v>
      </c>
      <c r="V59" s="80" t="s">
        <v>417</v>
      </c>
      <c r="W59" s="169" t="s">
        <v>469</v>
      </c>
    </row>
    <row r="60" spans="1:23" s="47" customFormat="1" ht="36" customHeight="1">
      <c r="A60" s="157">
        <v>2.4</v>
      </c>
      <c r="B60" s="157"/>
      <c r="C60" s="157"/>
      <c r="D60" s="171"/>
      <c r="E60" s="157"/>
      <c r="F60" s="574" t="s">
        <v>418</v>
      </c>
      <c r="G60" s="574"/>
      <c r="H60" s="573"/>
      <c r="I60" s="573"/>
      <c r="J60" s="573"/>
      <c r="K60" s="573"/>
      <c r="L60" s="573"/>
      <c r="M60" s="573"/>
      <c r="N60" s="573"/>
      <c r="O60" s="573"/>
      <c r="P60" s="573"/>
      <c r="Q60" s="573"/>
      <c r="R60" s="573"/>
      <c r="S60" s="573"/>
      <c r="T60" s="573"/>
      <c r="U60" s="573"/>
      <c r="V60" s="573"/>
      <c r="W60" s="573"/>
    </row>
    <row r="61" spans="1:23" s="47" customFormat="1" ht="36" customHeight="1">
      <c r="A61" s="149" t="s">
        <v>419</v>
      </c>
      <c r="B61" s="149" t="s">
        <v>145</v>
      </c>
      <c r="C61" s="77" t="s">
        <v>59</v>
      </c>
      <c r="D61" s="172" t="s">
        <v>61</v>
      </c>
      <c r="E61" s="77"/>
      <c r="F61" s="572" t="s">
        <v>420</v>
      </c>
      <c r="G61" s="572"/>
      <c r="H61" s="62" t="s">
        <v>612</v>
      </c>
      <c r="I61" s="166">
        <v>12</v>
      </c>
      <c r="J61" s="166">
        <v>24</v>
      </c>
      <c r="K61" s="83"/>
      <c r="L61" s="83"/>
      <c r="M61" s="166"/>
      <c r="N61" s="166"/>
      <c r="O61" s="83"/>
      <c r="P61" s="83"/>
      <c r="Q61" s="151">
        <v>1</v>
      </c>
      <c r="R61" s="167">
        <f>((I61*$C$12+K61)+((M61*$C$12+O61))*Q61)</f>
        <v>1200</v>
      </c>
      <c r="S61" s="167">
        <f>((J61*$C$12+L61)+((N61*$C$12+P61))*Q61)</f>
        <v>2400</v>
      </c>
      <c r="T61" s="154">
        <f aca="true" t="shared" si="8" ref="T61:U64">I61+(M61*5)</f>
        <v>12</v>
      </c>
      <c r="U61" s="154">
        <f t="shared" si="8"/>
        <v>24</v>
      </c>
      <c r="V61" s="77" t="s">
        <v>443</v>
      </c>
      <c r="W61" s="169" t="s">
        <v>469</v>
      </c>
    </row>
    <row r="62" spans="1:23" s="47" customFormat="1" ht="36" customHeight="1">
      <c r="A62" s="149" t="s">
        <v>421</v>
      </c>
      <c r="B62" s="149" t="s">
        <v>144</v>
      </c>
      <c r="C62" s="77"/>
      <c r="D62" s="165" t="s">
        <v>63</v>
      </c>
      <c r="E62" s="77"/>
      <c r="F62" s="500" t="s">
        <v>422</v>
      </c>
      <c r="G62" s="500"/>
      <c r="H62" s="62" t="s">
        <v>612</v>
      </c>
      <c r="I62" s="166"/>
      <c r="J62" s="166"/>
      <c r="K62" s="83"/>
      <c r="L62" s="83"/>
      <c r="M62" s="166">
        <v>26</v>
      </c>
      <c r="N62" s="166">
        <v>46</v>
      </c>
      <c r="O62" s="83"/>
      <c r="P62" s="83"/>
      <c r="Q62" s="151">
        <v>5</v>
      </c>
      <c r="R62" s="167">
        <f>((I62*$C$12+K62)+((M62*$C$12+O62))*Q62)</f>
        <v>13000</v>
      </c>
      <c r="S62" s="167">
        <f>((J62*$C$12+L62)+((N62*$C$12+P62))*Q62)</f>
        <v>23000</v>
      </c>
      <c r="T62" s="154">
        <f t="shared" si="8"/>
        <v>130</v>
      </c>
      <c r="U62" s="154">
        <f t="shared" si="8"/>
        <v>230</v>
      </c>
      <c r="V62" s="80" t="s">
        <v>511</v>
      </c>
      <c r="W62" s="169" t="s">
        <v>469</v>
      </c>
    </row>
    <row r="63" spans="1:23" s="47" customFormat="1" ht="36" customHeight="1">
      <c r="A63" s="149" t="s">
        <v>423</v>
      </c>
      <c r="B63" s="149" t="s">
        <v>2</v>
      </c>
      <c r="C63" s="77"/>
      <c r="D63" s="165" t="s">
        <v>63</v>
      </c>
      <c r="E63" s="77" t="s">
        <v>71</v>
      </c>
      <c r="F63" s="500" t="s">
        <v>175</v>
      </c>
      <c r="G63" s="500"/>
      <c r="H63" s="62" t="s">
        <v>613</v>
      </c>
      <c r="I63" s="166"/>
      <c r="J63" s="166"/>
      <c r="K63" s="83"/>
      <c r="L63" s="83"/>
      <c r="M63" s="166"/>
      <c r="N63" s="166"/>
      <c r="O63" s="83"/>
      <c r="P63" s="83"/>
      <c r="Q63" s="151">
        <v>5</v>
      </c>
      <c r="R63" s="167">
        <f>((I63*$C$12+K63)+((M63*$C$12+O63))*Q63)</f>
        <v>0</v>
      </c>
      <c r="S63" s="167">
        <f>((J63*$C$12+L63)+((N63*$C$12+P63))*Q63)</f>
        <v>0</v>
      </c>
      <c r="T63" s="154">
        <f t="shared" si="8"/>
        <v>0</v>
      </c>
      <c r="U63" s="154">
        <f t="shared" si="8"/>
        <v>0</v>
      </c>
      <c r="V63" s="77" t="s">
        <v>464</v>
      </c>
      <c r="W63" s="77"/>
    </row>
    <row r="64" spans="1:23" s="47" customFormat="1" ht="36" customHeight="1">
      <c r="A64" s="149" t="s">
        <v>424</v>
      </c>
      <c r="B64" s="149" t="s">
        <v>2</v>
      </c>
      <c r="C64" s="77"/>
      <c r="D64" s="165" t="s">
        <v>60</v>
      </c>
      <c r="E64" s="77"/>
      <c r="F64" s="500" t="s">
        <v>425</v>
      </c>
      <c r="G64" s="500"/>
      <c r="H64" s="62" t="s">
        <v>614</v>
      </c>
      <c r="I64" s="166"/>
      <c r="J64" s="166"/>
      <c r="K64" s="83"/>
      <c r="L64" s="83"/>
      <c r="M64" s="166"/>
      <c r="N64" s="166"/>
      <c r="O64" s="83"/>
      <c r="P64" s="83"/>
      <c r="Q64" s="151">
        <v>5</v>
      </c>
      <c r="R64" s="167">
        <f>((I64*$C$12+K64)+((M64*$C$12+O64))*Q64)</f>
        <v>0</v>
      </c>
      <c r="S64" s="167">
        <f>((J64*$C$12+L64)+((N64*$C$12+P64))*Q64)</f>
        <v>0</v>
      </c>
      <c r="T64" s="154">
        <f t="shared" si="8"/>
        <v>0</v>
      </c>
      <c r="U64" s="154">
        <f t="shared" si="8"/>
        <v>0</v>
      </c>
      <c r="V64" s="80" t="s">
        <v>444</v>
      </c>
      <c r="W64" s="169" t="s">
        <v>469</v>
      </c>
    </row>
    <row r="65" spans="1:23" s="47" customFormat="1" ht="36" customHeight="1">
      <c r="A65" s="156">
        <v>3</v>
      </c>
      <c r="B65" s="156"/>
      <c r="C65" s="156"/>
      <c r="D65" s="575" t="s">
        <v>426</v>
      </c>
      <c r="E65" s="575"/>
      <c r="F65" s="575"/>
      <c r="G65" s="575"/>
      <c r="H65" s="576"/>
      <c r="I65" s="576"/>
      <c r="J65" s="576"/>
      <c r="K65" s="576"/>
      <c r="L65" s="576"/>
      <c r="M65" s="576"/>
      <c r="N65" s="576"/>
      <c r="O65" s="576"/>
      <c r="P65" s="576"/>
      <c r="Q65" s="576"/>
      <c r="R65" s="576"/>
      <c r="S65" s="576"/>
      <c r="T65" s="576"/>
      <c r="U65" s="576"/>
      <c r="V65" s="576"/>
      <c r="W65" s="576"/>
    </row>
    <row r="66" spans="1:23" s="47" customFormat="1" ht="36" customHeight="1">
      <c r="A66" s="149">
        <v>3.1</v>
      </c>
      <c r="B66" s="149" t="s">
        <v>145</v>
      </c>
      <c r="C66" s="77" t="s">
        <v>77</v>
      </c>
      <c r="D66" s="168" t="s">
        <v>61</v>
      </c>
      <c r="E66" s="77"/>
      <c r="F66" s="566" t="s">
        <v>427</v>
      </c>
      <c r="G66" s="566"/>
      <c r="H66" s="62" t="s">
        <v>615</v>
      </c>
      <c r="I66" s="166"/>
      <c r="J66" s="166"/>
      <c r="K66" s="83">
        <f>C11*5000</f>
        <v>15000</v>
      </c>
      <c r="L66" s="83">
        <f>D11*5000</f>
        <v>25000</v>
      </c>
      <c r="M66" s="166"/>
      <c r="N66" s="166"/>
      <c r="O66" s="83"/>
      <c r="P66" s="83"/>
      <c r="Q66" s="151">
        <v>1</v>
      </c>
      <c r="R66" s="167">
        <f aca="true" t="shared" si="9" ref="R66:R72">((I66*$C$12+K66)+((M66*$C$12+O66))*Q66)</f>
        <v>15000</v>
      </c>
      <c r="S66" s="167">
        <f aca="true" t="shared" si="10" ref="S66:S72">((J66*$C$12+L66)+((N66*$C$12+P66))*Q66)</f>
        <v>25000</v>
      </c>
      <c r="T66" s="154">
        <f>I66+(M66*5)</f>
        <v>0</v>
      </c>
      <c r="U66" s="154">
        <f>J66+(N66*5)</f>
        <v>0</v>
      </c>
      <c r="V66" s="80" t="s">
        <v>518</v>
      </c>
      <c r="W66" s="77" t="s">
        <v>447</v>
      </c>
    </row>
    <row r="67" spans="1:23" s="47" customFormat="1" ht="36" customHeight="1">
      <c r="A67" s="149">
        <v>3.2</v>
      </c>
      <c r="B67" s="149" t="s">
        <v>428</v>
      </c>
      <c r="C67" s="77" t="s">
        <v>77</v>
      </c>
      <c r="D67" s="165" t="s">
        <v>63</v>
      </c>
      <c r="E67" s="77"/>
      <c r="F67" s="500" t="s">
        <v>429</v>
      </c>
      <c r="G67" s="500"/>
      <c r="H67" s="62" t="s">
        <v>615</v>
      </c>
      <c r="I67" s="166"/>
      <c r="J67" s="166"/>
      <c r="K67" s="83"/>
      <c r="L67" s="83"/>
      <c r="M67" s="166"/>
      <c r="N67" s="166"/>
      <c r="O67" s="83">
        <f>1000*C11</f>
        <v>3000</v>
      </c>
      <c r="P67" s="83">
        <f>1500*D11</f>
        <v>7500</v>
      </c>
      <c r="Q67" s="151">
        <v>5</v>
      </c>
      <c r="R67" s="167">
        <f t="shared" si="9"/>
        <v>15000</v>
      </c>
      <c r="S67" s="167">
        <f t="shared" si="10"/>
        <v>37500</v>
      </c>
      <c r="T67" s="154">
        <f aca="true" t="shared" si="11" ref="T67:T72">I67+(M67*5)</f>
        <v>0</v>
      </c>
      <c r="U67" s="154">
        <f aca="true" t="shared" si="12" ref="U67:U72">J67+(N67*5)</f>
        <v>0</v>
      </c>
      <c r="V67" s="80" t="s">
        <v>512</v>
      </c>
      <c r="W67" s="77" t="s">
        <v>519</v>
      </c>
    </row>
    <row r="68" spans="1:23" s="47" customFormat="1" ht="36" customHeight="1">
      <c r="A68" s="149">
        <v>3.3</v>
      </c>
      <c r="B68" s="149" t="s">
        <v>87</v>
      </c>
      <c r="C68" s="77"/>
      <c r="D68" s="165" t="s">
        <v>63</v>
      </c>
      <c r="E68" s="77"/>
      <c r="F68" s="492" t="s">
        <v>430</v>
      </c>
      <c r="G68" s="492"/>
      <c r="H68" s="62" t="s">
        <v>616</v>
      </c>
      <c r="I68" s="166"/>
      <c r="J68" s="166"/>
      <c r="K68" s="83"/>
      <c r="L68" s="83"/>
      <c r="M68" s="166">
        <v>12</v>
      </c>
      <c r="N68" s="166">
        <v>14</v>
      </c>
      <c r="O68" s="83"/>
      <c r="P68" s="83"/>
      <c r="Q68" s="151">
        <v>5</v>
      </c>
      <c r="R68" s="167">
        <f t="shared" si="9"/>
        <v>6000</v>
      </c>
      <c r="S68" s="167">
        <f t="shared" si="10"/>
        <v>7000</v>
      </c>
      <c r="T68" s="154">
        <f t="shared" si="11"/>
        <v>60</v>
      </c>
      <c r="U68" s="154">
        <f t="shared" si="12"/>
        <v>70</v>
      </c>
      <c r="V68" s="80" t="s">
        <v>445</v>
      </c>
      <c r="W68" s="169" t="s">
        <v>469</v>
      </c>
    </row>
    <row r="69" spans="1:23" s="47" customFormat="1" ht="36" customHeight="1">
      <c r="A69" s="149">
        <v>3.4</v>
      </c>
      <c r="B69" s="149" t="s">
        <v>428</v>
      </c>
      <c r="C69" s="77"/>
      <c r="D69" s="165" t="s">
        <v>431</v>
      </c>
      <c r="E69" s="77"/>
      <c r="F69" s="492" t="s">
        <v>432</v>
      </c>
      <c r="G69" s="492"/>
      <c r="H69" s="62" t="s">
        <v>617</v>
      </c>
      <c r="I69" s="166"/>
      <c r="J69" s="166"/>
      <c r="K69" s="83"/>
      <c r="L69" s="83"/>
      <c r="M69" s="166">
        <v>24</v>
      </c>
      <c r="N69" s="166">
        <v>80</v>
      </c>
      <c r="O69" s="83"/>
      <c r="P69" s="83"/>
      <c r="Q69" s="151">
        <v>5</v>
      </c>
      <c r="R69" s="167">
        <f t="shared" si="9"/>
        <v>12000</v>
      </c>
      <c r="S69" s="167">
        <f t="shared" si="10"/>
        <v>40000</v>
      </c>
      <c r="T69" s="154">
        <f t="shared" si="11"/>
        <v>120</v>
      </c>
      <c r="U69" s="154">
        <f t="shared" si="12"/>
        <v>400</v>
      </c>
      <c r="V69" s="80" t="s">
        <v>513</v>
      </c>
      <c r="W69" s="169" t="s">
        <v>469</v>
      </c>
    </row>
    <row r="70" spans="1:23" s="47" customFormat="1" ht="36" customHeight="1">
      <c r="A70" s="149">
        <v>3.5</v>
      </c>
      <c r="B70" s="149" t="s">
        <v>144</v>
      </c>
      <c r="C70" s="77"/>
      <c r="D70" s="160" t="s">
        <v>62</v>
      </c>
      <c r="E70" s="77"/>
      <c r="F70" s="567" t="s">
        <v>433</v>
      </c>
      <c r="G70" s="567"/>
      <c r="H70" s="62" t="s">
        <v>618</v>
      </c>
      <c r="I70" s="166"/>
      <c r="J70" s="166"/>
      <c r="K70" s="83"/>
      <c r="L70" s="83"/>
      <c r="M70" s="166"/>
      <c r="N70" s="166"/>
      <c r="O70" s="83"/>
      <c r="P70" s="83"/>
      <c r="Q70" s="151">
        <v>5</v>
      </c>
      <c r="R70" s="167">
        <f t="shared" si="9"/>
        <v>0</v>
      </c>
      <c r="S70" s="167">
        <f t="shared" si="10"/>
        <v>0</v>
      </c>
      <c r="T70" s="154">
        <f t="shared" si="11"/>
        <v>0</v>
      </c>
      <c r="U70" s="154">
        <f t="shared" si="12"/>
        <v>0</v>
      </c>
      <c r="V70" s="80" t="s">
        <v>446</v>
      </c>
      <c r="W70" s="169" t="s">
        <v>469</v>
      </c>
    </row>
    <row r="71" spans="1:23" s="47" customFormat="1" ht="36" customHeight="1">
      <c r="A71" s="149">
        <v>3.6</v>
      </c>
      <c r="B71" s="149" t="s">
        <v>2</v>
      </c>
      <c r="C71" s="77"/>
      <c r="D71" s="165" t="s">
        <v>63</v>
      </c>
      <c r="E71" s="77" t="s">
        <v>71</v>
      </c>
      <c r="F71" s="500" t="s">
        <v>434</v>
      </c>
      <c r="G71" s="500"/>
      <c r="H71" s="62" t="s">
        <v>619</v>
      </c>
      <c r="I71" s="166"/>
      <c r="J71" s="166"/>
      <c r="K71" s="83"/>
      <c r="L71" s="83"/>
      <c r="M71" s="166"/>
      <c r="N71" s="166"/>
      <c r="O71" s="83"/>
      <c r="P71" s="83"/>
      <c r="Q71" s="151">
        <v>5</v>
      </c>
      <c r="R71" s="167">
        <f t="shared" si="9"/>
        <v>0</v>
      </c>
      <c r="S71" s="167">
        <f t="shared" si="10"/>
        <v>0</v>
      </c>
      <c r="T71" s="154">
        <f t="shared" si="11"/>
        <v>0</v>
      </c>
      <c r="U71" s="154">
        <f t="shared" si="12"/>
        <v>0</v>
      </c>
      <c r="V71" s="77" t="s">
        <v>464</v>
      </c>
      <c r="W71" s="77"/>
    </row>
    <row r="72" spans="1:23" s="47" customFormat="1" ht="36" customHeight="1">
      <c r="A72" s="149">
        <v>3.7</v>
      </c>
      <c r="B72" s="149" t="s">
        <v>2</v>
      </c>
      <c r="C72" s="77"/>
      <c r="D72" s="165" t="s">
        <v>60</v>
      </c>
      <c r="E72" s="77"/>
      <c r="F72" s="500" t="s">
        <v>435</v>
      </c>
      <c r="G72" s="500"/>
      <c r="H72" s="62" t="s">
        <v>620</v>
      </c>
      <c r="I72" s="77"/>
      <c r="J72" s="77"/>
      <c r="K72" s="77"/>
      <c r="L72" s="77"/>
      <c r="M72" s="166">
        <v>8</v>
      </c>
      <c r="N72" s="166">
        <v>16</v>
      </c>
      <c r="O72" s="83"/>
      <c r="P72" s="83"/>
      <c r="Q72" s="151">
        <v>5</v>
      </c>
      <c r="R72" s="167">
        <f t="shared" si="9"/>
        <v>4000</v>
      </c>
      <c r="S72" s="167">
        <f t="shared" si="10"/>
        <v>8000</v>
      </c>
      <c r="T72" s="154">
        <f t="shared" si="11"/>
        <v>40</v>
      </c>
      <c r="U72" s="154">
        <f t="shared" si="12"/>
        <v>80</v>
      </c>
      <c r="V72" s="77"/>
      <c r="W72" s="169" t="s">
        <v>469</v>
      </c>
    </row>
    <row r="73" spans="1:23" ht="36" customHeight="1">
      <c r="A73" s="77"/>
      <c r="B73" s="77"/>
      <c r="C73" s="77"/>
      <c r="D73" s="77"/>
      <c r="E73" s="77"/>
      <c r="F73" s="77"/>
      <c r="G73" s="77"/>
      <c r="H73" s="77"/>
      <c r="I73" s="77"/>
      <c r="J73" s="77"/>
      <c r="K73" s="77"/>
      <c r="L73" s="77"/>
      <c r="M73" s="77"/>
      <c r="N73" s="77"/>
      <c r="O73" s="77"/>
      <c r="P73" s="77"/>
      <c r="Q73" s="77"/>
      <c r="R73" s="77"/>
      <c r="S73" s="77"/>
      <c r="T73" s="77"/>
      <c r="U73" s="77"/>
      <c r="V73" s="77"/>
      <c r="W73" s="77"/>
    </row>
    <row r="74" spans="1:23" ht="36" customHeight="1">
      <c r="A74" s="173"/>
      <c r="B74" s="173"/>
      <c r="C74" s="173"/>
      <c r="D74" s="173"/>
      <c r="E74" s="173"/>
      <c r="F74" s="173"/>
      <c r="G74" s="173"/>
      <c r="H74" s="173"/>
      <c r="I74" s="173"/>
      <c r="J74" s="173"/>
      <c r="K74" s="173"/>
      <c r="L74" s="173"/>
      <c r="M74" s="173"/>
      <c r="N74" s="173"/>
      <c r="O74" s="173"/>
      <c r="P74" s="174"/>
      <c r="Q74" s="177" t="s">
        <v>493</v>
      </c>
      <c r="R74" s="175">
        <f>ROUND((SUM(R37:R73)-(R44+R53+R46+R45)),3-(INT(LOG((SUM(R37:R73)-(R44+R53+R46+R45)))+1)))</f>
        <v>278000</v>
      </c>
      <c r="S74" s="175">
        <f>ROUND((SUM(S37:S73)-(S44+S53+S46+S45)),3-(INT(LOG((SUM(S37:S73)-(S44+S53+S46+S45)))+1)))</f>
        <v>557000</v>
      </c>
      <c r="T74" s="176">
        <f>ROUND((SUM(T37:T73)-(T44+T53+T46+T45)),3-(INT(LOG((SUM(T37:T73)-(T44+T53+T46+T45)))+1)))</f>
        <v>602</v>
      </c>
      <c r="U74" s="176">
        <f>ROUND((SUM(U37:U73)-(U44+U53+U46+U45)),3-(INT(LOG((SUM(U37:U73)-(U44+U53+U46+U45)))+1)))</f>
        <v>1190</v>
      </c>
      <c r="V74" s="173"/>
      <c r="W74" s="173"/>
    </row>
    <row r="75" spans="1:23" ht="36" customHeight="1">
      <c r="A75" s="173"/>
      <c r="B75" s="173"/>
      <c r="C75" s="173"/>
      <c r="D75" s="173"/>
      <c r="E75" s="173"/>
      <c r="F75" s="173"/>
      <c r="G75" s="173"/>
      <c r="H75" s="173"/>
      <c r="I75" s="173"/>
      <c r="J75" s="173"/>
      <c r="K75" s="173"/>
      <c r="L75" s="173"/>
      <c r="M75" s="173"/>
      <c r="N75" s="173"/>
      <c r="O75" s="173"/>
      <c r="P75" s="174"/>
      <c r="Q75" s="177" t="s">
        <v>494</v>
      </c>
      <c r="R75" s="175">
        <f>ROUND((SUM(R37:R73)-(R43+R52)),3-(INT(LOG((SUM(R37:R73)-(R43+R52)))+1)))</f>
        <v>390000</v>
      </c>
      <c r="S75" s="175">
        <f>ROUND((SUM(S37:S73)-(S43+S52+S46+S45)),3-(INT(LOG((SUM(S37:S73)-(S43+S52+S46+S45)))+1)))</f>
        <v>852000</v>
      </c>
      <c r="T75" s="176">
        <f>ROUND((SUM(T37:T73)-(T43+T52)),3-(INT(LOG((SUM(T37:T73)-(T43+T52)))+1)))</f>
        <v>602</v>
      </c>
      <c r="U75" s="176">
        <f>ROUND((SUM(U37:U73)-(U43+U52+U46+U45)),3-(INT(LOG((SUM(U37:U73)-(U43+U52+U46+U45)))+1)))</f>
        <v>1190</v>
      </c>
      <c r="V75" s="173"/>
      <c r="W75" s="173"/>
    </row>
    <row r="76" spans="1:23" ht="13.5">
      <c r="A76" s="62"/>
      <c r="B76" s="62"/>
      <c r="C76" s="62"/>
      <c r="D76" s="62"/>
      <c r="E76" s="62"/>
      <c r="F76" s="62"/>
      <c r="G76" s="62"/>
      <c r="H76" s="62"/>
      <c r="I76" s="62"/>
      <c r="J76" s="62"/>
      <c r="K76" s="62"/>
      <c r="L76" s="62"/>
      <c r="M76" s="62"/>
      <c r="N76" s="62"/>
      <c r="O76" s="62"/>
      <c r="P76" s="62"/>
      <c r="Q76" s="62"/>
      <c r="R76" s="62"/>
      <c r="S76" s="62"/>
      <c r="T76" s="62"/>
      <c r="U76" s="62"/>
      <c r="V76" s="62"/>
      <c r="W76" s="62"/>
    </row>
    <row r="77" spans="1:23" ht="13.5">
      <c r="A77" s="62"/>
      <c r="B77" s="62"/>
      <c r="C77" s="62"/>
      <c r="D77" s="62"/>
      <c r="E77" s="62"/>
      <c r="F77" s="62"/>
      <c r="G77" s="62"/>
      <c r="H77" s="62"/>
      <c r="I77" s="62"/>
      <c r="J77" s="62"/>
      <c r="K77" s="62"/>
      <c r="L77" s="62"/>
      <c r="M77" s="62"/>
      <c r="N77" s="62"/>
      <c r="O77" s="62"/>
      <c r="P77" s="62"/>
      <c r="Q77" s="62"/>
      <c r="R77" s="62"/>
      <c r="S77" s="62"/>
      <c r="T77" s="62"/>
      <c r="U77" s="62"/>
      <c r="V77" s="62"/>
      <c r="W77" s="62"/>
    </row>
    <row r="78" spans="1:23" ht="13.5">
      <c r="A78" s="62"/>
      <c r="B78" s="62"/>
      <c r="C78" s="62"/>
      <c r="D78" s="62"/>
      <c r="E78" s="62"/>
      <c r="F78" s="62"/>
      <c r="G78" s="62"/>
      <c r="H78" s="62"/>
      <c r="I78" s="62"/>
      <c r="J78" s="62"/>
      <c r="K78" s="62"/>
      <c r="L78" s="62"/>
      <c r="M78" s="62"/>
      <c r="N78" s="62"/>
      <c r="O78" s="62"/>
      <c r="P78" s="62"/>
      <c r="Q78" s="62"/>
      <c r="R78" s="62"/>
      <c r="S78" s="62"/>
      <c r="T78" s="62"/>
      <c r="U78" s="62"/>
      <c r="V78" s="62"/>
      <c r="W78" s="62"/>
    </row>
  </sheetData>
  <sheetProtection/>
  <mergeCells count="74">
    <mergeCell ref="H60:W60"/>
    <mergeCell ref="H36:W36"/>
    <mergeCell ref="H65:W65"/>
    <mergeCell ref="F44:G44"/>
    <mergeCell ref="F53:G53"/>
    <mergeCell ref="B24:C24"/>
    <mergeCell ref="D24:E24"/>
    <mergeCell ref="H41:W41"/>
    <mergeCell ref="H40:W40"/>
    <mergeCell ref="H50:W50"/>
    <mergeCell ref="H57:W57"/>
    <mergeCell ref="F69:G69"/>
    <mergeCell ref="F70:G70"/>
    <mergeCell ref="F71:G71"/>
    <mergeCell ref="F72:G72"/>
    <mergeCell ref="F41:G41"/>
    <mergeCell ref="F50:G50"/>
    <mergeCell ref="F57:G57"/>
    <mergeCell ref="F60:G60"/>
    <mergeCell ref="D65:G65"/>
    <mergeCell ref="F62:G62"/>
    <mergeCell ref="F63:G63"/>
    <mergeCell ref="F64:G64"/>
    <mergeCell ref="F66:G66"/>
    <mergeCell ref="F67:G67"/>
    <mergeCell ref="F68:G68"/>
    <mergeCell ref="F54:G54"/>
    <mergeCell ref="F55:G55"/>
    <mergeCell ref="F56:G56"/>
    <mergeCell ref="F58:G58"/>
    <mergeCell ref="F59:G59"/>
    <mergeCell ref="F61:G61"/>
    <mergeCell ref="F46:G46"/>
    <mergeCell ref="F47:G47"/>
    <mergeCell ref="F48:G48"/>
    <mergeCell ref="F49:G49"/>
    <mergeCell ref="F51:G51"/>
    <mergeCell ref="F52:G52"/>
    <mergeCell ref="F38:G38"/>
    <mergeCell ref="F39:G39"/>
    <mergeCell ref="F43:G43"/>
    <mergeCell ref="F42:G42"/>
    <mergeCell ref="F45:G45"/>
    <mergeCell ref="E33:E35"/>
    <mergeCell ref="F33:G35"/>
    <mergeCell ref="A11:B11"/>
    <mergeCell ref="A12:B12"/>
    <mergeCell ref="A5:D5"/>
    <mergeCell ref="F37:G37"/>
    <mergeCell ref="A6:B6"/>
    <mergeCell ref="A7:B7"/>
    <mergeCell ref="A9:B9"/>
    <mergeCell ref="B15:C15"/>
    <mergeCell ref="D15:E15"/>
    <mergeCell ref="W46:W48"/>
    <mergeCell ref="T34:U34"/>
    <mergeCell ref="R34:S34"/>
    <mergeCell ref="I33:L33"/>
    <mergeCell ref="M33:Q33"/>
    <mergeCell ref="I34:J34"/>
    <mergeCell ref="R33:U33"/>
    <mergeCell ref="V33:V35"/>
    <mergeCell ref="K34:L34"/>
    <mergeCell ref="M34:N34"/>
    <mergeCell ref="W33:W35"/>
    <mergeCell ref="A8:B8"/>
    <mergeCell ref="A10:B10"/>
    <mergeCell ref="O34:P34"/>
    <mergeCell ref="A33:A35"/>
    <mergeCell ref="B33:B35"/>
    <mergeCell ref="C33:C35"/>
    <mergeCell ref="D33:D35"/>
    <mergeCell ref="H33:H35"/>
    <mergeCell ref="Q34:Q35"/>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sheetPr>
    <pageSetUpPr fitToPage="1"/>
  </sheetPr>
  <dimension ref="A1:AE52"/>
  <sheetViews>
    <sheetView zoomScale="70" zoomScaleNormal="70" workbookViewId="0" topLeftCell="A1">
      <selection activeCell="D2" sqref="D2"/>
    </sheetView>
  </sheetViews>
  <sheetFormatPr defaultColWidth="8.8515625" defaultRowHeight="15"/>
  <cols>
    <col min="1" max="1" width="10.8515625" style="0" bestFit="1" customWidth="1"/>
    <col min="2" max="2" width="10.8515625" style="1" bestFit="1" customWidth="1"/>
    <col min="3" max="3" width="10.421875" style="1" customWidth="1"/>
    <col min="4" max="4" width="12.28125" style="0" customWidth="1"/>
    <col min="5" max="6" width="5.7109375" style="1" customWidth="1"/>
    <col min="7" max="7" width="94.8515625" style="0" customWidth="1"/>
    <col min="8" max="8" width="23.140625" style="0" customWidth="1"/>
    <col min="9" max="10" width="10.7109375" style="21" customWidth="1"/>
    <col min="11" max="19" width="10.7109375" style="24" customWidth="1"/>
    <col min="20" max="21" width="8.8515625" style="0" customWidth="1"/>
    <col min="22" max="22" width="66.140625" style="7" customWidth="1"/>
    <col min="23" max="23" width="36.8515625" style="0" customWidth="1"/>
    <col min="24" max="24" width="34.8515625" style="0" customWidth="1"/>
  </cols>
  <sheetData>
    <row r="1" spans="1:22" s="27" customFormat="1" ht="30" customHeight="1">
      <c r="A1" s="486" t="s">
        <v>477</v>
      </c>
      <c r="B1" s="487"/>
      <c r="C1" s="488"/>
      <c r="D1" s="47"/>
      <c r="E1" s="47"/>
      <c r="H1" s="66"/>
      <c r="I1" s="67"/>
      <c r="J1" s="67"/>
      <c r="K1" s="25"/>
      <c r="L1" s="25"/>
      <c r="M1" s="25"/>
      <c r="N1" s="25"/>
      <c r="O1" s="25"/>
      <c r="P1" s="25"/>
      <c r="Q1" s="25"/>
      <c r="R1" s="25"/>
      <c r="S1" s="25"/>
      <c r="T1"/>
      <c r="U1"/>
      <c r="V1" s="68"/>
    </row>
    <row r="2" spans="1:22" s="27" customFormat="1" ht="30" customHeight="1">
      <c r="A2" s="493" t="s">
        <v>346</v>
      </c>
      <c r="B2" s="494"/>
      <c r="C2" s="119">
        <f>'MS4 Stats'!B10</f>
        <v>100</v>
      </c>
      <c r="D2" s="47"/>
      <c r="E2" s="47"/>
      <c r="H2" s="66"/>
      <c r="I2" s="67"/>
      <c r="J2" s="67"/>
      <c r="K2" s="25"/>
      <c r="L2" s="25"/>
      <c r="M2" s="25"/>
      <c r="N2" s="25"/>
      <c r="O2" s="25"/>
      <c r="P2" s="25"/>
      <c r="Q2" s="25"/>
      <c r="R2" s="25"/>
      <c r="S2" s="25"/>
      <c r="T2"/>
      <c r="U2"/>
      <c r="V2" s="68"/>
    </row>
    <row r="3" spans="1:22" s="27" customFormat="1" ht="45" customHeight="1">
      <c r="A3"/>
      <c r="B3"/>
      <c r="C3"/>
      <c r="D3" s="3"/>
      <c r="E3"/>
      <c r="H3" s="66"/>
      <c r="I3" s="67"/>
      <c r="J3" s="67"/>
      <c r="K3" s="25"/>
      <c r="L3" s="25"/>
      <c r="M3" s="25"/>
      <c r="N3" s="25"/>
      <c r="O3" s="25"/>
      <c r="P3" s="25"/>
      <c r="Q3" s="25"/>
      <c r="R3" s="25"/>
      <c r="S3" s="25"/>
      <c r="T3"/>
      <c r="U3"/>
      <c r="V3" s="68"/>
    </row>
    <row r="4" spans="1:22" s="27" customFormat="1" ht="30" customHeight="1">
      <c r="A4" s="72"/>
      <c r="B4" s="487" t="s">
        <v>479</v>
      </c>
      <c r="C4" s="487"/>
      <c r="D4" s="487" t="s">
        <v>259</v>
      </c>
      <c r="E4" s="488"/>
      <c r="H4" s="66"/>
      <c r="I4" s="67"/>
      <c r="J4" s="67"/>
      <c r="K4" s="25"/>
      <c r="L4" s="25"/>
      <c r="M4" s="25"/>
      <c r="N4" s="25"/>
      <c r="O4" s="25"/>
      <c r="P4" s="25"/>
      <c r="Q4" s="25"/>
      <c r="R4" s="25"/>
      <c r="S4" s="25"/>
      <c r="T4"/>
      <c r="U4"/>
      <c r="V4" s="68"/>
    </row>
    <row r="5" spans="1:22" s="27" customFormat="1" ht="30" customHeight="1">
      <c r="A5" s="102"/>
      <c r="B5" s="103" t="s">
        <v>304</v>
      </c>
      <c r="C5" s="103" t="s">
        <v>305</v>
      </c>
      <c r="D5" s="103" t="s">
        <v>304</v>
      </c>
      <c r="E5" s="104" t="s">
        <v>305</v>
      </c>
      <c r="H5" s="66"/>
      <c r="I5" s="67"/>
      <c r="J5" s="67"/>
      <c r="K5" s="25"/>
      <c r="L5" s="25"/>
      <c r="M5" s="25"/>
      <c r="N5" s="25"/>
      <c r="O5" s="25"/>
      <c r="P5" s="25"/>
      <c r="Q5" s="25"/>
      <c r="R5" s="25"/>
      <c r="S5" s="25"/>
      <c r="T5"/>
      <c r="U5"/>
      <c r="V5" s="68"/>
    </row>
    <row r="6" spans="1:22" s="27" customFormat="1" ht="30" customHeight="1">
      <c r="A6" s="85" t="s">
        <v>63</v>
      </c>
      <c r="B6" s="86">
        <f>0</f>
        <v>0</v>
      </c>
      <c r="C6" s="87">
        <f>((O23+O25)*C2)+Q23</f>
        <v>0</v>
      </c>
      <c r="D6" s="88">
        <f>N21+N25</f>
        <v>0</v>
      </c>
      <c r="E6" s="89">
        <f>O23+O25</f>
        <v>0</v>
      </c>
      <c r="H6" s="66"/>
      <c r="I6" s="67"/>
      <c r="J6" s="67"/>
      <c r="K6" s="25"/>
      <c r="L6" s="25"/>
      <c r="M6" s="25"/>
      <c r="N6" s="25"/>
      <c r="O6" s="25"/>
      <c r="P6" s="25"/>
      <c r="Q6" s="25"/>
      <c r="R6" s="25"/>
      <c r="S6" s="25"/>
      <c r="T6"/>
      <c r="U6"/>
      <c r="V6" s="68"/>
    </row>
    <row r="7" spans="1:22" s="27" customFormat="1" ht="30" customHeight="1">
      <c r="A7" s="90" t="s">
        <v>480</v>
      </c>
      <c r="B7" s="91">
        <f>ROUND((R18+R19+R20+R21+R22+R24+R25+R28),3-(INT(LOG((R18+R19+R20+R21+R22+R24+R25+R28))+1)))</f>
        <v>5000</v>
      </c>
      <c r="C7" s="323">
        <f>ROUND((S18+S19+S20+S21+S22+S24+S25+S28),3-(INT(LOG((S18+S19+S20+S21+S22+S24+S25+S28))+1)))</f>
        <v>11200</v>
      </c>
      <c r="D7" s="286">
        <f>ROUND((T18+T19+T20+T21+T22+T24+T25+T28),3-(INT(LOG((T18+T19+T20+T21+T22+T24+T25+T28))+1)))</f>
        <v>50</v>
      </c>
      <c r="E7" s="286">
        <f>ROUND((U18+U19+U20+U21+U22+U24+U25+U28),3-(INT(LOG((U18+U19+U20+U21+U22+U24+U25+U28))+1)))</f>
        <v>112</v>
      </c>
      <c r="H7" s="66"/>
      <c r="I7" s="67"/>
      <c r="J7" s="67"/>
      <c r="K7" s="25"/>
      <c r="L7" s="25"/>
      <c r="M7" s="25"/>
      <c r="N7" s="25"/>
      <c r="O7" s="25"/>
      <c r="P7" s="25"/>
      <c r="Q7" s="25"/>
      <c r="R7" s="25"/>
      <c r="S7" s="25"/>
      <c r="T7"/>
      <c r="U7"/>
      <c r="V7" s="68"/>
    </row>
    <row r="8" spans="1:22" s="27" customFormat="1" ht="30" customHeight="1">
      <c r="A8" s="94" t="s">
        <v>62</v>
      </c>
      <c r="B8" s="95">
        <f>R26</f>
        <v>0</v>
      </c>
      <c r="C8" s="95">
        <f>S26</f>
        <v>1600</v>
      </c>
      <c r="D8" s="96">
        <v>0</v>
      </c>
      <c r="E8" s="97">
        <f>U26</f>
        <v>16</v>
      </c>
      <c r="H8" s="66"/>
      <c r="I8" s="67"/>
      <c r="J8" s="67"/>
      <c r="K8" s="25"/>
      <c r="L8" s="25"/>
      <c r="M8" s="25"/>
      <c r="N8" s="25"/>
      <c r="O8" s="25"/>
      <c r="P8" s="25"/>
      <c r="Q8" s="25"/>
      <c r="R8" s="25"/>
      <c r="S8" s="25"/>
      <c r="T8"/>
      <c r="U8"/>
      <c r="V8" s="68"/>
    </row>
    <row r="9" spans="1:23" s="27" customFormat="1" ht="30" customHeight="1">
      <c r="A9" s="98" t="s">
        <v>478</v>
      </c>
      <c r="B9" s="99">
        <f>R31</f>
        <v>5000</v>
      </c>
      <c r="C9" s="99">
        <f>S31</f>
        <v>11200</v>
      </c>
      <c r="D9" s="178">
        <f>T31</f>
        <v>50</v>
      </c>
      <c r="E9" s="179">
        <f>U31</f>
        <v>112</v>
      </c>
      <c r="F9" s="1"/>
      <c r="G9"/>
      <c r="H9"/>
      <c r="I9" s="21"/>
      <c r="J9" s="21"/>
      <c r="K9" s="24"/>
      <c r="L9" s="24"/>
      <c r="M9" s="24"/>
      <c r="N9" s="24"/>
      <c r="O9" s="24"/>
      <c r="P9" s="24"/>
      <c r="Q9" s="24"/>
      <c r="R9" s="24"/>
      <c r="S9" s="24"/>
      <c r="T9"/>
      <c r="U9"/>
      <c r="V9" s="7"/>
      <c r="W9"/>
    </row>
    <row r="10" spans="1:23" s="234" customFormat="1" ht="30" customHeight="1">
      <c r="A10" s="614" t="s">
        <v>482</v>
      </c>
      <c r="B10" s="615"/>
      <c r="C10" s="615"/>
      <c r="D10" s="615"/>
      <c r="E10" s="616"/>
      <c r="F10" s="1"/>
      <c r="G10"/>
      <c r="H10"/>
      <c r="I10" s="21"/>
      <c r="J10" s="21"/>
      <c r="K10" s="24"/>
      <c r="L10" s="24"/>
      <c r="M10" s="24"/>
      <c r="N10" s="24"/>
      <c r="O10" s="24"/>
      <c r="P10" s="24"/>
      <c r="Q10" s="24"/>
      <c r="R10" s="24"/>
      <c r="S10" s="24"/>
      <c r="T10"/>
      <c r="U10"/>
      <c r="V10" s="7"/>
      <c r="W10"/>
    </row>
    <row r="13" spans="1:23" s="47" customFormat="1" ht="45" customHeight="1">
      <c r="A13" s="585" t="s">
        <v>0</v>
      </c>
      <c r="B13" s="585" t="s">
        <v>29</v>
      </c>
      <c r="C13" s="586" t="s">
        <v>32</v>
      </c>
      <c r="D13" s="586" t="s">
        <v>110</v>
      </c>
      <c r="E13" s="586" t="s">
        <v>70</v>
      </c>
      <c r="F13" s="587" t="s">
        <v>504</v>
      </c>
      <c r="G13" s="588"/>
      <c r="H13" s="298"/>
      <c r="I13" s="603" t="s">
        <v>497</v>
      </c>
      <c r="J13" s="603"/>
      <c r="K13" s="603"/>
      <c r="L13" s="603"/>
      <c r="M13" s="603" t="s">
        <v>498</v>
      </c>
      <c r="N13" s="603"/>
      <c r="O13" s="603"/>
      <c r="P13" s="603"/>
      <c r="Q13" s="603"/>
      <c r="R13" s="578" t="s">
        <v>499</v>
      </c>
      <c r="S13" s="579"/>
      <c r="T13" s="579"/>
      <c r="U13" s="580"/>
      <c r="V13" s="581" t="s">
        <v>262</v>
      </c>
      <c r="W13" s="584" t="s">
        <v>261</v>
      </c>
    </row>
    <row r="14" spans="1:31" ht="94.5" customHeight="1">
      <c r="A14" s="541"/>
      <c r="B14" s="541"/>
      <c r="C14" s="544"/>
      <c r="D14" s="544"/>
      <c r="E14" s="544"/>
      <c r="F14" s="589"/>
      <c r="G14" s="590"/>
      <c r="H14" s="584" t="s">
        <v>1</v>
      </c>
      <c r="I14" s="603" t="s">
        <v>259</v>
      </c>
      <c r="J14" s="603"/>
      <c r="K14" s="531" t="s">
        <v>450</v>
      </c>
      <c r="L14" s="531"/>
      <c r="M14" s="531" t="s">
        <v>321</v>
      </c>
      <c r="N14" s="531"/>
      <c r="O14" s="602" t="s">
        <v>450</v>
      </c>
      <c r="P14" s="602"/>
      <c r="Q14" s="299" t="s">
        <v>264</v>
      </c>
      <c r="R14" s="561" t="s">
        <v>326</v>
      </c>
      <c r="S14" s="561"/>
      <c r="T14" s="561" t="s">
        <v>472</v>
      </c>
      <c r="U14" s="561"/>
      <c r="V14" s="582"/>
      <c r="W14" s="523"/>
      <c r="Z14" s="2"/>
      <c r="AA14" s="2"/>
      <c r="AB14" s="2"/>
      <c r="AC14" s="2"/>
      <c r="AD14" s="2"/>
      <c r="AE14" s="2"/>
    </row>
    <row r="15" spans="1:31" ht="39" customHeight="1">
      <c r="A15" s="542"/>
      <c r="B15" s="542"/>
      <c r="C15" s="545"/>
      <c r="D15" s="545"/>
      <c r="E15" s="545"/>
      <c r="F15" s="591"/>
      <c r="G15" s="592"/>
      <c r="H15" s="524"/>
      <c r="I15" s="300" t="s">
        <v>304</v>
      </c>
      <c r="J15" s="300" t="s">
        <v>305</v>
      </c>
      <c r="K15" s="301" t="s">
        <v>304</v>
      </c>
      <c r="L15" s="301" t="s">
        <v>305</v>
      </c>
      <c r="M15" s="301" t="s">
        <v>304</v>
      </c>
      <c r="N15" s="301" t="s">
        <v>305</v>
      </c>
      <c r="O15" s="302" t="s">
        <v>354</v>
      </c>
      <c r="P15" s="302" t="s">
        <v>305</v>
      </c>
      <c r="Q15" s="299"/>
      <c r="R15" s="301" t="s">
        <v>304</v>
      </c>
      <c r="S15" s="301" t="s">
        <v>305</v>
      </c>
      <c r="T15" s="303" t="s">
        <v>304</v>
      </c>
      <c r="U15" s="303" t="s">
        <v>305</v>
      </c>
      <c r="V15" s="583"/>
      <c r="W15" s="524"/>
      <c r="Z15" s="2"/>
      <c r="AA15" s="2"/>
      <c r="AB15" s="2"/>
      <c r="AC15" s="2"/>
      <c r="AD15" s="2"/>
      <c r="AE15" s="2"/>
    </row>
    <row r="16" spans="1:30" ht="55.5" customHeight="1">
      <c r="A16" s="190">
        <v>1</v>
      </c>
      <c r="B16" s="191"/>
      <c r="C16" s="191" t="s">
        <v>31</v>
      </c>
      <c r="D16" s="191"/>
      <c r="E16" s="191" t="s">
        <v>71</v>
      </c>
      <c r="F16" s="623" t="s">
        <v>33</v>
      </c>
      <c r="G16" s="623"/>
      <c r="H16" s="191" t="s">
        <v>30</v>
      </c>
      <c r="I16" s="608"/>
      <c r="J16" s="609"/>
      <c r="K16" s="609"/>
      <c r="L16" s="609"/>
      <c r="M16" s="609"/>
      <c r="N16" s="609"/>
      <c r="O16" s="609"/>
      <c r="P16" s="609"/>
      <c r="Q16" s="609"/>
      <c r="R16" s="609"/>
      <c r="S16" s="609"/>
      <c r="T16" s="609"/>
      <c r="U16" s="609"/>
      <c r="V16" s="609"/>
      <c r="W16" s="610"/>
      <c r="X16" s="65"/>
      <c r="Y16" s="65"/>
      <c r="Z16" s="2"/>
      <c r="AA16" s="2"/>
      <c r="AB16" s="2"/>
      <c r="AC16" s="2"/>
      <c r="AD16" s="2"/>
    </row>
    <row r="17" spans="1:30" ht="46.5" customHeight="1">
      <c r="A17" s="189">
        <v>1.1</v>
      </c>
      <c r="B17" s="188"/>
      <c r="C17" s="188" t="s">
        <v>31</v>
      </c>
      <c r="D17" s="188"/>
      <c r="E17" s="188"/>
      <c r="F17" s="530" t="s">
        <v>44</v>
      </c>
      <c r="G17" s="530"/>
      <c r="H17" s="188" t="s">
        <v>27</v>
      </c>
      <c r="I17" s="611"/>
      <c r="J17" s="612"/>
      <c r="K17" s="612"/>
      <c r="L17" s="612"/>
      <c r="M17" s="612"/>
      <c r="N17" s="612"/>
      <c r="O17" s="612"/>
      <c r="P17" s="612"/>
      <c r="Q17" s="612"/>
      <c r="R17" s="612"/>
      <c r="S17" s="612"/>
      <c r="T17" s="612"/>
      <c r="U17" s="612"/>
      <c r="V17" s="612"/>
      <c r="W17" s="613"/>
      <c r="X17" s="65"/>
      <c r="Y17" s="65"/>
      <c r="Z17" s="2"/>
      <c r="AA17" s="2"/>
      <c r="AB17" s="2"/>
      <c r="AC17" s="2"/>
      <c r="AD17" s="2"/>
    </row>
    <row r="18" spans="1:30" ht="75" customHeight="1">
      <c r="A18" s="200" t="s">
        <v>50</v>
      </c>
      <c r="B18" s="200" t="s">
        <v>2</v>
      </c>
      <c r="C18" s="200" t="s">
        <v>31</v>
      </c>
      <c r="D18" s="201" t="s">
        <v>61</v>
      </c>
      <c r="E18" s="200"/>
      <c r="F18" s="604" t="s">
        <v>36</v>
      </c>
      <c r="G18" s="605"/>
      <c r="H18" s="204" t="s">
        <v>34</v>
      </c>
      <c r="I18" s="205">
        <v>4</v>
      </c>
      <c r="J18" s="205">
        <v>4</v>
      </c>
      <c r="K18" s="206">
        <v>0</v>
      </c>
      <c r="L18" s="206"/>
      <c r="M18" s="205">
        <v>0</v>
      </c>
      <c r="N18" s="205"/>
      <c r="O18" s="206">
        <v>0</v>
      </c>
      <c r="P18" s="206"/>
      <c r="Q18" s="205">
        <v>0</v>
      </c>
      <c r="R18" s="206">
        <f>(I18*$C$2)+K18</f>
        <v>400</v>
      </c>
      <c r="S18" s="206">
        <f>(J18*$C$2)+L18</f>
        <v>400</v>
      </c>
      <c r="T18" s="204">
        <f>I18+(M18*5)</f>
        <v>4</v>
      </c>
      <c r="U18" s="204">
        <f aca="true" t="shared" si="0" ref="T18:U22">J18+(N18*5)</f>
        <v>4</v>
      </c>
      <c r="V18" s="207" t="s">
        <v>349</v>
      </c>
      <c r="W18" s="208" t="s">
        <v>469</v>
      </c>
      <c r="Y18" s="2"/>
      <c r="Z18" s="2"/>
      <c r="AA18" s="2"/>
      <c r="AB18" s="2"/>
      <c r="AC18" s="2"/>
      <c r="AD18" s="2"/>
    </row>
    <row r="19" spans="1:30" ht="75" customHeight="1">
      <c r="A19" s="200" t="s">
        <v>51</v>
      </c>
      <c r="B19" s="200" t="s">
        <v>42</v>
      </c>
      <c r="C19" s="200" t="s">
        <v>31</v>
      </c>
      <c r="D19" s="201" t="s">
        <v>61</v>
      </c>
      <c r="E19" s="200"/>
      <c r="F19" s="604" t="s">
        <v>38</v>
      </c>
      <c r="G19" s="605"/>
      <c r="H19" s="204" t="s">
        <v>35</v>
      </c>
      <c r="I19" s="205">
        <v>0</v>
      </c>
      <c r="J19" s="205">
        <v>0</v>
      </c>
      <c r="K19" s="206">
        <v>0</v>
      </c>
      <c r="L19" s="206"/>
      <c r="M19" s="205">
        <v>0</v>
      </c>
      <c r="N19" s="205"/>
      <c r="O19" s="206">
        <v>0</v>
      </c>
      <c r="P19" s="206"/>
      <c r="Q19" s="205">
        <v>0</v>
      </c>
      <c r="R19" s="206">
        <f aca="true" t="shared" si="1" ref="R19:S24">(I19*$C$2)+K19</f>
        <v>0</v>
      </c>
      <c r="S19" s="206">
        <f>(J19*$C$2)+L19</f>
        <v>0</v>
      </c>
      <c r="T19" s="204">
        <f t="shared" si="0"/>
        <v>0</v>
      </c>
      <c r="U19" s="204">
        <f t="shared" si="0"/>
        <v>0</v>
      </c>
      <c r="V19" s="209" t="s">
        <v>348</v>
      </c>
      <c r="W19" s="208" t="s">
        <v>469</v>
      </c>
      <c r="Y19" s="2"/>
      <c r="Z19" s="2"/>
      <c r="AA19" s="2"/>
      <c r="AB19" s="2"/>
      <c r="AC19" s="2"/>
      <c r="AD19" s="2"/>
    </row>
    <row r="20" spans="1:30" ht="75" customHeight="1">
      <c r="A20" s="200" t="s">
        <v>52</v>
      </c>
      <c r="B20" s="200" t="s">
        <v>42</v>
      </c>
      <c r="C20" s="200" t="s">
        <v>31</v>
      </c>
      <c r="D20" s="201" t="s">
        <v>61</v>
      </c>
      <c r="E20" s="200"/>
      <c r="F20" s="604" t="s">
        <v>226</v>
      </c>
      <c r="G20" s="605"/>
      <c r="H20" s="204" t="s">
        <v>35</v>
      </c>
      <c r="I20" s="347">
        <v>0</v>
      </c>
      <c r="J20" s="347">
        <v>16</v>
      </c>
      <c r="K20" s="206">
        <v>0</v>
      </c>
      <c r="L20" s="206"/>
      <c r="M20" s="205">
        <v>0</v>
      </c>
      <c r="N20" s="205"/>
      <c r="O20" s="206">
        <v>0</v>
      </c>
      <c r="P20" s="206"/>
      <c r="Q20" s="205">
        <v>0</v>
      </c>
      <c r="R20" s="206">
        <f t="shared" si="1"/>
        <v>0</v>
      </c>
      <c r="S20" s="206">
        <f>(J20*$C$2)+L20</f>
        <v>1600</v>
      </c>
      <c r="T20" s="204">
        <f t="shared" si="0"/>
        <v>0</v>
      </c>
      <c r="U20" s="204">
        <f t="shared" si="0"/>
        <v>16</v>
      </c>
      <c r="V20" s="207" t="s">
        <v>520</v>
      </c>
      <c r="W20" s="208" t="s">
        <v>469</v>
      </c>
      <c r="Y20" s="2"/>
      <c r="Z20" s="2"/>
      <c r="AA20" s="2"/>
      <c r="AB20" s="2"/>
      <c r="AC20" s="2"/>
      <c r="AD20" s="2"/>
    </row>
    <row r="21" spans="1:30" ht="75" customHeight="1">
      <c r="A21" s="200" t="s">
        <v>53</v>
      </c>
      <c r="B21" s="200" t="s">
        <v>42</v>
      </c>
      <c r="C21" s="200" t="s">
        <v>31</v>
      </c>
      <c r="D21" s="201" t="s">
        <v>61</v>
      </c>
      <c r="E21" s="200"/>
      <c r="F21" s="604" t="s">
        <v>39</v>
      </c>
      <c r="G21" s="605"/>
      <c r="H21" s="204" t="s">
        <v>37</v>
      </c>
      <c r="I21" s="347">
        <v>0</v>
      </c>
      <c r="J21" s="347">
        <v>10</v>
      </c>
      <c r="K21" s="206">
        <v>0</v>
      </c>
      <c r="L21" s="206"/>
      <c r="M21" s="205">
        <v>0</v>
      </c>
      <c r="N21" s="205"/>
      <c r="O21" s="206">
        <v>0</v>
      </c>
      <c r="P21" s="206"/>
      <c r="Q21" s="205">
        <v>0</v>
      </c>
      <c r="R21" s="206">
        <f t="shared" si="1"/>
        <v>0</v>
      </c>
      <c r="S21" s="206">
        <f>(J21*$C$2)+L21</f>
        <v>1000</v>
      </c>
      <c r="T21" s="204">
        <f t="shared" si="0"/>
        <v>0</v>
      </c>
      <c r="U21" s="204">
        <f t="shared" si="0"/>
        <v>10</v>
      </c>
      <c r="V21" s="207" t="s">
        <v>350</v>
      </c>
      <c r="W21" s="208" t="s">
        <v>469</v>
      </c>
      <c r="Y21" s="2"/>
      <c r="Z21" s="2"/>
      <c r="AA21" s="2"/>
      <c r="AB21" s="2"/>
      <c r="AC21" s="2"/>
      <c r="AD21" s="2"/>
    </row>
    <row r="22" spans="1:30" ht="75" customHeight="1">
      <c r="A22" s="200" t="s">
        <v>56</v>
      </c>
      <c r="B22" s="200" t="s">
        <v>2</v>
      </c>
      <c r="C22" s="200" t="s">
        <v>31</v>
      </c>
      <c r="D22" s="201" t="s">
        <v>61</v>
      </c>
      <c r="E22" s="200"/>
      <c r="F22" s="604" t="s">
        <v>40</v>
      </c>
      <c r="G22" s="605"/>
      <c r="H22" s="204" t="s">
        <v>41</v>
      </c>
      <c r="I22" s="347">
        <v>2</v>
      </c>
      <c r="J22" s="347">
        <v>2</v>
      </c>
      <c r="K22" s="206">
        <v>0</v>
      </c>
      <c r="L22" s="206"/>
      <c r="M22" s="205">
        <v>0</v>
      </c>
      <c r="N22" s="205"/>
      <c r="O22" s="206">
        <v>0</v>
      </c>
      <c r="P22" s="206"/>
      <c r="Q22" s="205">
        <v>0</v>
      </c>
      <c r="R22" s="206">
        <f t="shared" si="1"/>
        <v>200</v>
      </c>
      <c r="S22" s="206">
        <f>(J22*$C$2)+L22</f>
        <v>200</v>
      </c>
      <c r="T22" s="204">
        <f t="shared" si="0"/>
        <v>2</v>
      </c>
      <c r="U22" s="204">
        <f t="shared" si="0"/>
        <v>2</v>
      </c>
      <c r="V22" s="207" t="s">
        <v>266</v>
      </c>
      <c r="W22" s="208" t="s">
        <v>469</v>
      </c>
      <c r="Y22" s="2"/>
      <c r="Z22" s="2"/>
      <c r="AA22" s="2"/>
      <c r="AB22" s="2"/>
      <c r="AC22" s="2"/>
      <c r="AD22" s="2"/>
    </row>
    <row r="23" spans="1:30" ht="75" customHeight="1">
      <c r="A23" s="189">
        <v>1.2</v>
      </c>
      <c r="B23" s="188"/>
      <c r="C23" s="188" t="s">
        <v>31</v>
      </c>
      <c r="D23" s="188"/>
      <c r="E23" s="188"/>
      <c r="F23" s="530" t="s">
        <v>43</v>
      </c>
      <c r="G23" s="530"/>
      <c r="H23" s="188" t="s">
        <v>28</v>
      </c>
      <c r="I23" s="197"/>
      <c r="J23" s="197"/>
      <c r="K23" s="198"/>
      <c r="L23" s="198"/>
      <c r="M23" s="198"/>
      <c r="N23" s="198"/>
      <c r="O23" s="198"/>
      <c r="P23" s="198"/>
      <c r="Q23" s="198"/>
      <c r="R23" s="198"/>
      <c r="S23" s="198"/>
      <c r="T23" s="198"/>
      <c r="U23" s="198"/>
      <c r="V23" s="199"/>
      <c r="W23" s="188"/>
      <c r="Y23" s="2"/>
      <c r="Z23" s="2"/>
      <c r="AA23" s="2"/>
      <c r="AB23" s="2"/>
      <c r="AC23" s="2"/>
      <c r="AD23" s="2"/>
    </row>
    <row r="24" spans="1:30" ht="75" customHeight="1">
      <c r="A24" s="200" t="s">
        <v>54</v>
      </c>
      <c r="B24" s="200" t="s">
        <v>2</v>
      </c>
      <c r="C24" s="200" t="s">
        <v>31</v>
      </c>
      <c r="D24" s="201" t="s">
        <v>61</v>
      </c>
      <c r="E24" s="200"/>
      <c r="F24" s="617" t="s">
        <v>46</v>
      </c>
      <c r="G24" s="618"/>
      <c r="H24" s="207" t="s">
        <v>45</v>
      </c>
      <c r="I24" s="205">
        <v>4</v>
      </c>
      <c r="J24" s="205">
        <v>4</v>
      </c>
      <c r="K24" s="206">
        <v>0</v>
      </c>
      <c r="L24" s="206"/>
      <c r="M24" s="205">
        <v>0</v>
      </c>
      <c r="N24" s="205"/>
      <c r="O24" s="206">
        <v>0</v>
      </c>
      <c r="P24" s="206"/>
      <c r="Q24" s="205">
        <v>0</v>
      </c>
      <c r="R24" s="206">
        <f t="shared" si="1"/>
        <v>400</v>
      </c>
      <c r="S24" s="206">
        <f t="shared" si="1"/>
        <v>400</v>
      </c>
      <c r="T24" s="204">
        <f>I24+(M24*5)</f>
        <v>4</v>
      </c>
      <c r="U24" s="204">
        <f>J24+(N24*5)</f>
        <v>4</v>
      </c>
      <c r="V24" s="207" t="s">
        <v>351</v>
      </c>
      <c r="W24" s="208" t="s">
        <v>469</v>
      </c>
      <c r="Y24" s="2"/>
      <c r="Z24" s="2"/>
      <c r="AA24" s="2"/>
      <c r="AB24" s="2"/>
      <c r="AC24" s="2"/>
      <c r="AD24" s="2"/>
    </row>
    <row r="25" spans="1:30" ht="75" customHeight="1">
      <c r="A25" s="200" t="s">
        <v>55</v>
      </c>
      <c r="B25" s="200" t="s">
        <v>42</v>
      </c>
      <c r="C25" s="200" t="s">
        <v>31</v>
      </c>
      <c r="D25" s="201" t="s">
        <v>61</v>
      </c>
      <c r="E25" s="200"/>
      <c r="F25" s="617" t="s">
        <v>48</v>
      </c>
      <c r="G25" s="618"/>
      <c r="H25" s="207" t="s">
        <v>47</v>
      </c>
      <c r="I25" s="205">
        <v>0</v>
      </c>
      <c r="J25" s="205">
        <v>4</v>
      </c>
      <c r="K25" s="206">
        <v>0</v>
      </c>
      <c r="L25" s="206"/>
      <c r="M25" s="205">
        <v>0</v>
      </c>
      <c r="N25" s="205"/>
      <c r="O25" s="206">
        <v>0</v>
      </c>
      <c r="P25" s="206"/>
      <c r="Q25" s="205">
        <v>0</v>
      </c>
      <c r="R25" s="206">
        <f>(I25*$C$2)+K25</f>
        <v>0</v>
      </c>
      <c r="S25" s="206">
        <f>(J25*$C$2)+L25</f>
        <v>400</v>
      </c>
      <c r="T25" s="204">
        <f>I25+(M25*5)</f>
        <v>0</v>
      </c>
      <c r="U25" s="204">
        <f>J25+(N25*5)</f>
        <v>4</v>
      </c>
      <c r="V25" s="207" t="s">
        <v>352</v>
      </c>
      <c r="W25" s="208" t="s">
        <v>469</v>
      </c>
      <c r="Y25" s="2"/>
      <c r="Z25" s="2"/>
      <c r="AA25" s="2"/>
      <c r="AB25" s="2"/>
      <c r="AC25" s="2"/>
      <c r="AD25" s="2"/>
    </row>
    <row r="26" spans="1:30" ht="75" customHeight="1">
      <c r="A26" s="200" t="s">
        <v>57</v>
      </c>
      <c r="B26" s="200" t="s">
        <v>42</v>
      </c>
      <c r="C26" s="200"/>
      <c r="D26" s="211" t="s">
        <v>62</v>
      </c>
      <c r="E26" s="200"/>
      <c r="F26" s="619" t="s">
        <v>49</v>
      </c>
      <c r="G26" s="620"/>
      <c r="H26" s="207" t="s">
        <v>47</v>
      </c>
      <c r="I26" s="205">
        <v>0</v>
      </c>
      <c r="J26" s="205">
        <v>0</v>
      </c>
      <c r="K26" s="206">
        <v>0</v>
      </c>
      <c r="L26" s="206"/>
      <c r="M26" s="205">
        <v>0</v>
      </c>
      <c r="N26" s="205">
        <v>16</v>
      </c>
      <c r="O26" s="206">
        <v>0</v>
      </c>
      <c r="P26" s="206"/>
      <c r="Q26" s="205">
        <v>1</v>
      </c>
      <c r="R26" s="217">
        <f>(M26*$C$2)</f>
        <v>0</v>
      </c>
      <c r="S26" s="217">
        <f>(N26*$C$2)</f>
        <v>1600</v>
      </c>
      <c r="T26" s="211">
        <f>I26+(M26*5)</f>
        <v>0</v>
      </c>
      <c r="U26" s="211">
        <f>J26+(N26*Q26)</f>
        <v>16</v>
      </c>
      <c r="V26" s="209" t="s">
        <v>353</v>
      </c>
      <c r="W26" s="208" t="s">
        <v>469</v>
      </c>
      <c r="X26" s="7" t="s">
        <v>556</v>
      </c>
      <c r="Y26" s="2"/>
      <c r="Z26" s="2"/>
      <c r="AA26" s="2"/>
      <c r="AB26" s="2"/>
      <c r="AC26" s="2"/>
      <c r="AD26" s="2"/>
    </row>
    <row r="27" spans="1:23" ht="75" customHeight="1">
      <c r="A27" s="189">
        <v>1.3</v>
      </c>
      <c r="B27" s="188"/>
      <c r="C27" s="188" t="s">
        <v>31</v>
      </c>
      <c r="D27" s="188"/>
      <c r="E27" s="188" t="s">
        <v>71</v>
      </c>
      <c r="F27" s="621" t="s">
        <v>178</v>
      </c>
      <c r="G27" s="622"/>
      <c r="H27" s="188"/>
      <c r="I27" s="197"/>
      <c r="J27" s="197"/>
      <c r="K27" s="198"/>
      <c r="L27" s="198"/>
      <c r="M27" s="198"/>
      <c r="N27" s="198"/>
      <c r="O27" s="198"/>
      <c r="P27" s="198"/>
      <c r="Q27" s="198"/>
      <c r="R27" s="198"/>
      <c r="S27" s="198"/>
      <c r="T27" s="198"/>
      <c r="U27" s="198"/>
      <c r="V27" s="199"/>
      <c r="W27" s="188"/>
    </row>
    <row r="28" spans="1:23" ht="75" customHeight="1">
      <c r="A28" s="200" t="s">
        <v>183</v>
      </c>
      <c r="B28" s="204" t="s">
        <v>2</v>
      </c>
      <c r="C28" s="204" t="s">
        <v>31</v>
      </c>
      <c r="D28" s="203" t="s">
        <v>61</v>
      </c>
      <c r="E28" s="204"/>
      <c r="F28" s="606" t="s">
        <v>179</v>
      </c>
      <c r="G28" s="607"/>
      <c r="H28" s="213" t="s">
        <v>180</v>
      </c>
      <c r="I28" s="601">
        <v>40</v>
      </c>
      <c r="J28" s="596">
        <v>72</v>
      </c>
      <c r="K28" s="595">
        <v>0</v>
      </c>
      <c r="L28" s="595"/>
      <c r="M28" s="596">
        <v>0</v>
      </c>
      <c r="N28" s="595"/>
      <c r="O28" s="596">
        <v>0</v>
      </c>
      <c r="P28" s="596"/>
      <c r="Q28" s="596">
        <v>0</v>
      </c>
      <c r="R28" s="598">
        <f>I28*$C$2</f>
        <v>4000</v>
      </c>
      <c r="S28" s="598">
        <f>J28*$C$2</f>
        <v>7200</v>
      </c>
      <c r="T28" s="594">
        <f>I28+(M28*5)</f>
        <v>40</v>
      </c>
      <c r="U28" s="594">
        <f>J28+(N28*5)</f>
        <v>72</v>
      </c>
      <c r="V28" s="597" t="s">
        <v>459</v>
      </c>
      <c r="W28" s="593" t="s">
        <v>469</v>
      </c>
    </row>
    <row r="29" spans="1:23" ht="75" customHeight="1">
      <c r="A29" s="200" t="s">
        <v>184</v>
      </c>
      <c r="B29" s="204" t="s">
        <v>2</v>
      </c>
      <c r="C29" s="204" t="s">
        <v>31</v>
      </c>
      <c r="D29" s="203" t="s">
        <v>61</v>
      </c>
      <c r="E29" s="204"/>
      <c r="F29" s="604" t="s">
        <v>181</v>
      </c>
      <c r="G29" s="605"/>
      <c r="H29" s="215" t="s">
        <v>180</v>
      </c>
      <c r="I29" s="601"/>
      <c r="J29" s="596"/>
      <c r="K29" s="595"/>
      <c r="L29" s="595"/>
      <c r="M29" s="596"/>
      <c r="N29" s="595"/>
      <c r="O29" s="596"/>
      <c r="P29" s="596"/>
      <c r="Q29" s="596"/>
      <c r="R29" s="599"/>
      <c r="S29" s="599"/>
      <c r="T29" s="594"/>
      <c r="U29" s="594"/>
      <c r="V29" s="597"/>
      <c r="W29" s="593"/>
    </row>
    <row r="30" spans="1:23" ht="75" customHeight="1">
      <c r="A30" s="200" t="s">
        <v>185</v>
      </c>
      <c r="B30" s="204" t="s">
        <v>87</v>
      </c>
      <c r="C30" s="204" t="s">
        <v>31</v>
      </c>
      <c r="D30" s="203" t="s">
        <v>61</v>
      </c>
      <c r="E30" s="204"/>
      <c r="F30" s="606" t="s">
        <v>182</v>
      </c>
      <c r="G30" s="607"/>
      <c r="H30" s="215" t="s">
        <v>180</v>
      </c>
      <c r="I30" s="601"/>
      <c r="J30" s="596"/>
      <c r="K30" s="595"/>
      <c r="L30" s="595"/>
      <c r="M30" s="596"/>
      <c r="N30" s="595"/>
      <c r="O30" s="596"/>
      <c r="P30" s="596"/>
      <c r="Q30" s="596"/>
      <c r="R30" s="600"/>
      <c r="S30" s="600"/>
      <c r="T30" s="594"/>
      <c r="U30" s="594"/>
      <c r="V30" s="597"/>
      <c r="W30" s="209" t="s">
        <v>267</v>
      </c>
    </row>
    <row r="31" spans="1:23" ht="54" customHeight="1">
      <c r="A31" s="218"/>
      <c r="B31" s="218"/>
      <c r="C31" s="218"/>
      <c r="D31" s="219"/>
      <c r="E31" s="218"/>
      <c r="F31" s="218"/>
      <c r="G31" s="218"/>
      <c r="H31" s="220"/>
      <c r="I31" s="221"/>
      <c r="J31" s="221"/>
      <c r="K31" s="222"/>
      <c r="L31" s="222"/>
      <c r="M31" s="222"/>
      <c r="N31" s="222"/>
      <c r="O31" s="222"/>
      <c r="P31" s="222"/>
      <c r="Q31" s="223" t="s">
        <v>483</v>
      </c>
      <c r="R31" s="224">
        <f>ROUND((SUM(R16:R30)-R26),3-(INT(LOG((SUM(R16:R30)-R26))+1)))</f>
        <v>5000</v>
      </c>
      <c r="S31" s="352">
        <f>ROUND((SUM(S16:S30)-S26),3-(INT(LOG((SUM(S16:S30)-S26))+1)))</f>
        <v>11200</v>
      </c>
      <c r="T31" s="353">
        <f>ROUND((SUM(T16:T30)-T26),3-(INT(LOG((SUM(T16:T30)-T26))+1)))</f>
        <v>50</v>
      </c>
      <c r="U31" s="353">
        <f>ROUND((SUM(U16:U30)-U26),3-(INT(LOG((SUM(U16:U30)-U26))+1)))</f>
        <v>112</v>
      </c>
      <c r="V31" s="225"/>
      <c r="W31" s="218"/>
    </row>
    <row r="32" spans="1:23" ht="75" customHeight="1">
      <c r="A32" s="62"/>
      <c r="B32" s="62"/>
      <c r="C32" s="62"/>
      <c r="D32" s="46"/>
      <c r="E32" s="62"/>
      <c r="F32" s="62"/>
      <c r="G32" s="62"/>
      <c r="H32" s="62"/>
      <c r="I32" s="17"/>
      <c r="J32" s="17"/>
      <c r="K32" s="56"/>
      <c r="L32" s="56"/>
      <c r="M32" s="56"/>
      <c r="N32" s="56"/>
      <c r="O32" s="56"/>
      <c r="P32" s="56"/>
      <c r="Q32" s="56"/>
      <c r="R32" s="56"/>
      <c r="S32" s="56"/>
      <c r="T32" s="62"/>
      <c r="U32" s="62"/>
      <c r="V32" s="63"/>
      <c r="W32" s="62"/>
    </row>
    <row r="33" spans="2:22" ht="13.5">
      <c r="B33"/>
      <c r="C33"/>
      <c r="D33" s="3"/>
      <c r="E33"/>
      <c r="F33"/>
      <c r="I33"/>
      <c r="J33"/>
      <c r="K33"/>
      <c r="L33"/>
      <c r="M33"/>
      <c r="N33"/>
      <c r="O33"/>
      <c r="P33"/>
      <c r="Q33"/>
      <c r="R33"/>
      <c r="S33"/>
      <c r="V33"/>
    </row>
    <row r="34" spans="2:22" ht="13.5">
      <c r="B34"/>
      <c r="C34"/>
      <c r="D34" s="11"/>
      <c r="E34"/>
      <c r="F34"/>
      <c r="I34"/>
      <c r="J34"/>
      <c r="K34"/>
      <c r="L34"/>
      <c r="M34"/>
      <c r="N34"/>
      <c r="O34"/>
      <c r="P34"/>
      <c r="Q34"/>
      <c r="R34"/>
      <c r="S34"/>
      <c r="V34"/>
    </row>
    <row r="35" spans="2:22" ht="13.5">
      <c r="B35"/>
      <c r="C35"/>
      <c r="D35" s="11"/>
      <c r="E35"/>
      <c r="F35"/>
      <c r="I35"/>
      <c r="J35"/>
      <c r="K35"/>
      <c r="L35"/>
      <c r="M35"/>
      <c r="N35"/>
      <c r="O35"/>
      <c r="P35"/>
      <c r="Q35"/>
      <c r="R35"/>
      <c r="S35"/>
      <c r="V35"/>
    </row>
    <row r="36" spans="2:22" ht="13.5">
      <c r="B36"/>
      <c r="C36"/>
      <c r="D36" s="11"/>
      <c r="E36"/>
      <c r="F36"/>
      <c r="I36"/>
      <c r="J36"/>
      <c r="K36"/>
      <c r="L36"/>
      <c r="M36"/>
      <c r="N36"/>
      <c r="O36"/>
      <c r="P36"/>
      <c r="Q36"/>
      <c r="R36"/>
      <c r="S36"/>
      <c r="V36"/>
    </row>
    <row r="37" spans="2:22" ht="13.5">
      <c r="B37"/>
      <c r="C37"/>
      <c r="D37" s="11"/>
      <c r="E37"/>
      <c r="F37"/>
      <c r="I37"/>
      <c r="J37"/>
      <c r="K37"/>
      <c r="L37"/>
      <c r="M37"/>
      <c r="N37"/>
      <c r="O37"/>
      <c r="P37"/>
      <c r="Q37"/>
      <c r="R37"/>
      <c r="S37"/>
      <c r="V37"/>
    </row>
    <row r="38" spans="2:22" ht="13.5">
      <c r="B38"/>
      <c r="C38"/>
      <c r="D38" s="11"/>
      <c r="E38"/>
      <c r="F38"/>
      <c r="I38"/>
      <c r="J38"/>
      <c r="K38"/>
      <c r="L38"/>
      <c r="M38"/>
      <c r="N38"/>
      <c r="O38"/>
      <c r="P38"/>
      <c r="Q38"/>
      <c r="R38"/>
      <c r="S38"/>
      <c r="V38"/>
    </row>
    <row r="39" spans="2:22" ht="13.5">
      <c r="B39"/>
      <c r="C39"/>
      <c r="D39" s="3"/>
      <c r="E39"/>
      <c r="F39"/>
      <c r="I39"/>
      <c r="J39"/>
      <c r="K39"/>
      <c r="L39"/>
      <c r="M39"/>
      <c r="N39"/>
      <c r="O39"/>
      <c r="P39"/>
      <c r="Q39"/>
      <c r="R39"/>
      <c r="S39"/>
      <c r="V39"/>
    </row>
    <row r="40" spans="2:22" ht="13.5">
      <c r="B40"/>
      <c r="C40"/>
      <c r="D40" s="3"/>
      <c r="E40"/>
      <c r="F40"/>
      <c r="I40"/>
      <c r="J40"/>
      <c r="K40"/>
      <c r="L40"/>
      <c r="M40"/>
      <c r="N40"/>
      <c r="O40"/>
      <c r="P40"/>
      <c r="Q40"/>
      <c r="R40"/>
      <c r="S40"/>
      <c r="V40"/>
    </row>
    <row r="41" spans="2:22" ht="13.5">
      <c r="B41"/>
      <c r="C41"/>
      <c r="D41" s="3"/>
      <c r="E41"/>
      <c r="F41"/>
      <c r="I41"/>
      <c r="J41"/>
      <c r="K41"/>
      <c r="L41"/>
      <c r="M41"/>
      <c r="N41"/>
      <c r="O41"/>
      <c r="P41"/>
      <c r="Q41"/>
      <c r="R41"/>
      <c r="S41"/>
      <c r="V41"/>
    </row>
    <row r="42" spans="2:22" ht="13.5">
      <c r="B42"/>
      <c r="C42"/>
      <c r="D42" s="3"/>
      <c r="E42"/>
      <c r="F42"/>
      <c r="I42"/>
      <c r="J42"/>
      <c r="K42"/>
      <c r="L42"/>
      <c r="M42"/>
      <c r="N42"/>
      <c r="O42"/>
      <c r="P42"/>
      <c r="Q42"/>
      <c r="R42"/>
      <c r="S42"/>
      <c r="V42"/>
    </row>
    <row r="43" spans="2:22" ht="13.5">
      <c r="B43"/>
      <c r="C43"/>
      <c r="D43" s="8"/>
      <c r="E43"/>
      <c r="F43"/>
      <c r="I43"/>
      <c r="J43"/>
      <c r="K43"/>
      <c r="L43"/>
      <c r="M43"/>
      <c r="N43"/>
      <c r="O43"/>
      <c r="P43"/>
      <c r="Q43"/>
      <c r="R43"/>
      <c r="S43"/>
      <c r="V43"/>
    </row>
    <row r="44" spans="2:22" ht="13.5">
      <c r="B44"/>
      <c r="C44"/>
      <c r="D44" s="8"/>
      <c r="E44"/>
      <c r="F44"/>
      <c r="I44"/>
      <c r="J44"/>
      <c r="K44"/>
      <c r="L44"/>
      <c r="M44"/>
      <c r="N44"/>
      <c r="O44"/>
      <c r="P44"/>
      <c r="Q44"/>
      <c r="R44"/>
      <c r="S44"/>
      <c r="V44"/>
    </row>
    <row r="45" spans="2:22" ht="13.5">
      <c r="B45"/>
      <c r="C45"/>
      <c r="D45" s="3"/>
      <c r="E45"/>
      <c r="F45"/>
      <c r="I45"/>
      <c r="J45"/>
      <c r="K45"/>
      <c r="L45"/>
      <c r="M45"/>
      <c r="N45"/>
      <c r="O45"/>
      <c r="P45"/>
      <c r="Q45"/>
      <c r="R45"/>
      <c r="S45"/>
      <c r="V45"/>
    </row>
    <row r="46" spans="2:22" ht="13.5">
      <c r="B46"/>
      <c r="C46"/>
      <c r="D46" s="3"/>
      <c r="E46"/>
      <c r="F46"/>
      <c r="I46"/>
      <c r="J46"/>
      <c r="K46"/>
      <c r="L46"/>
      <c r="M46"/>
      <c r="N46"/>
      <c r="O46"/>
      <c r="P46"/>
      <c r="Q46"/>
      <c r="R46"/>
      <c r="S46"/>
      <c r="V46"/>
    </row>
    <row r="47" spans="2:22" ht="13.5">
      <c r="B47"/>
      <c r="C47"/>
      <c r="D47" s="3"/>
      <c r="E47"/>
      <c r="F47"/>
      <c r="I47"/>
      <c r="J47"/>
      <c r="K47"/>
      <c r="L47"/>
      <c r="M47"/>
      <c r="N47"/>
      <c r="O47"/>
      <c r="P47"/>
      <c r="Q47"/>
      <c r="R47"/>
      <c r="S47"/>
      <c r="V47"/>
    </row>
    <row r="48" spans="2:22" ht="13.5">
      <c r="B48"/>
      <c r="C48"/>
      <c r="D48" s="3"/>
      <c r="E48"/>
      <c r="F48"/>
      <c r="I48"/>
      <c r="J48"/>
      <c r="K48"/>
      <c r="L48"/>
      <c r="M48"/>
      <c r="N48"/>
      <c r="O48"/>
      <c r="P48"/>
      <c r="Q48"/>
      <c r="R48"/>
      <c r="S48"/>
      <c r="V48"/>
    </row>
    <row r="49" spans="2:22" ht="13.5">
      <c r="B49"/>
      <c r="C49"/>
      <c r="D49" s="3"/>
      <c r="E49"/>
      <c r="F49"/>
      <c r="I49"/>
      <c r="J49"/>
      <c r="K49"/>
      <c r="L49"/>
      <c r="M49"/>
      <c r="N49"/>
      <c r="O49"/>
      <c r="P49"/>
      <c r="Q49"/>
      <c r="R49"/>
      <c r="S49"/>
      <c r="V49"/>
    </row>
    <row r="50" spans="2:22" ht="13.5">
      <c r="B50"/>
      <c r="C50"/>
      <c r="D50" s="3"/>
      <c r="E50"/>
      <c r="F50"/>
      <c r="I50"/>
      <c r="J50"/>
      <c r="K50"/>
      <c r="L50"/>
      <c r="M50"/>
      <c r="N50"/>
      <c r="O50"/>
      <c r="P50"/>
      <c r="Q50"/>
      <c r="R50"/>
      <c r="S50"/>
      <c r="V50"/>
    </row>
    <row r="51" spans="2:22" ht="13.5">
      <c r="B51"/>
      <c r="C51"/>
      <c r="D51" s="3"/>
      <c r="E51"/>
      <c r="F51"/>
      <c r="I51"/>
      <c r="J51"/>
      <c r="K51"/>
      <c r="L51"/>
      <c r="M51"/>
      <c r="N51"/>
      <c r="O51"/>
      <c r="P51"/>
      <c r="Q51"/>
      <c r="R51"/>
      <c r="S51"/>
      <c r="V51"/>
    </row>
    <row r="52" spans="2:22" ht="13.5">
      <c r="B52"/>
      <c r="C52"/>
      <c r="D52" s="2"/>
      <c r="E52"/>
      <c r="F52"/>
      <c r="I52"/>
      <c r="J52"/>
      <c r="K52"/>
      <c r="L52"/>
      <c r="M52"/>
      <c r="N52"/>
      <c r="O52"/>
      <c r="P52"/>
      <c r="Q52"/>
      <c r="R52"/>
      <c r="S52"/>
      <c r="V52"/>
    </row>
  </sheetData>
  <sheetProtection/>
  <mergeCells count="54">
    <mergeCell ref="F30:G30"/>
    <mergeCell ref="I16:W17"/>
    <mergeCell ref="A10:E10"/>
    <mergeCell ref="F24:G24"/>
    <mergeCell ref="F25:G25"/>
    <mergeCell ref="F26:G26"/>
    <mergeCell ref="F27:G27"/>
    <mergeCell ref="F28:G28"/>
    <mergeCell ref="F29:G29"/>
    <mergeCell ref="F16:G16"/>
    <mergeCell ref="F17:G17"/>
    <mergeCell ref="F23:G23"/>
    <mergeCell ref="F18:G18"/>
    <mergeCell ref="F19:G19"/>
    <mergeCell ref="F20:G20"/>
    <mergeCell ref="F21:G21"/>
    <mergeCell ref="F22:G22"/>
    <mergeCell ref="A1:C1"/>
    <mergeCell ref="A2:B2"/>
    <mergeCell ref="B4:C4"/>
    <mergeCell ref="D4:E4"/>
    <mergeCell ref="O14:P14"/>
    <mergeCell ref="K14:L14"/>
    <mergeCell ref="M14:N14"/>
    <mergeCell ref="I14:J14"/>
    <mergeCell ref="M13:Q13"/>
    <mergeCell ref="I13:L13"/>
    <mergeCell ref="I28:I30"/>
    <mergeCell ref="K28:K30"/>
    <mergeCell ref="M28:M30"/>
    <mergeCell ref="O28:O30"/>
    <mergeCell ref="Q28:Q30"/>
    <mergeCell ref="R28:R30"/>
    <mergeCell ref="J28:J30"/>
    <mergeCell ref="W28:W29"/>
    <mergeCell ref="T14:U14"/>
    <mergeCell ref="T28:T30"/>
    <mergeCell ref="U28:U30"/>
    <mergeCell ref="N28:N30"/>
    <mergeCell ref="L28:L30"/>
    <mergeCell ref="P28:P30"/>
    <mergeCell ref="V28:V30"/>
    <mergeCell ref="S28:S30"/>
    <mergeCell ref="R14:S14"/>
    <mergeCell ref="R13:U13"/>
    <mergeCell ref="V13:V15"/>
    <mergeCell ref="W13:W15"/>
    <mergeCell ref="H14:H15"/>
    <mergeCell ref="A13:A15"/>
    <mergeCell ref="B13:B15"/>
    <mergeCell ref="C13:C15"/>
    <mergeCell ref="D13:D15"/>
    <mergeCell ref="E13:E15"/>
    <mergeCell ref="F13:G15"/>
  </mergeCells>
  <printOptions/>
  <pageMargins left="0.7" right="0.7" top="0.75" bottom="0.75" header="0.3" footer="0.3"/>
  <pageSetup fitToHeight="1" fitToWidth="1" horizontalDpi="600" verticalDpi="600" orientation="landscape" scale="24"/>
</worksheet>
</file>

<file path=xl/worksheets/sheet6.xml><?xml version="1.0" encoding="utf-8"?>
<worksheet xmlns="http://schemas.openxmlformats.org/spreadsheetml/2006/main" xmlns:r="http://schemas.openxmlformats.org/officeDocument/2006/relationships">
  <dimension ref="A1:W83"/>
  <sheetViews>
    <sheetView zoomScale="85" zoomScaleNormal="85" workbookViewId="0" topLeftCell="A1">
      <pane xSplit="5" ySplit="14" topLeftCell="F15" activePane="bottomRight" state="frozen"/>
      <selection pane="topLeft" activeCell="G23" sqref="G23"/>
      <selection pane="topRight" activeCell="G23" sqref="G23"/>
      <selection pane="bottomLeft" activeCell="G23" sqref="G23"/>
      <selection pane="bottomRight" activeCell="L7" sqref="L7"/>
    </sheetView>
  </sheetViews>
  <sheetFormatPr defaultColWidth="8.8515625" defaultRowHeight="15"/>
  <cols>
    <col min="1" max="1" width="10.421875" style="0" bestFit="1" customWidth="1"/>
    <col min="2" max="3" width="10.421875" style="1" customWidth="1"/>
    <col min="4" max="4" width="12.28125" style="0" customWidth="1"/>
    <col min="5" max="5" width="11.00390625" style="1" customWidth="1"/>
    <col min="6" max="6" width="5.7109375" style="1" customWidth="1"/>
    <col min="7" max="7" width="94.8515625" style="0" customWidth="1"/>
    <col min="8" max="8" width="16.140625" style="0" customWidth="1"/>
    <col min="9" max="10" width="10.7109375" style="21" customWidth="1"/>
    <col min="11" max="21" width="10.7109375" style="24" customWidth="1"/>
    <col min="22" max="22" width="57.421875" style="7" customWidth="1"/>
    <col min="23" max="23" width="36.8515625" style="0" customWidth="1"/>
  </cols>
  <sheetData>
    <row r="1" spans="7:10" ht="13.5">
      <c r="G1" s="27"/>
      <c r="H1" s="41"/>
      <c r="I1" s="42"/>
      <c r="J1" s="42"/>
    </row>
    <row r="2" spans="1:22" s="27" customFormat="1" ht="30" customHeight="1">
      <c r="A2" s="486" t="s">
        <v>477</v>
      </c>
      <c r="B2" s="487"/>
      <c r="C2" s="488"/>
      <c r="D2" s="47"/>
      <c r="E2" s="47"/>
      <c r="H2" s="66"/>
      <c r="I2" s="67"/>
      <c r="J2" s="67"/>
      <c r="K2" s="25"/>
      <c r="L2" s="25"/>
      <c r="M2" s="25"/>
      <c r="N2" s="25"/>
      <c r="O2" s="25"/>
      <c r="P2" s="25"/>
      <c r="Q2" s="25"/>
      <c r="R2" s="25"/>
      <c r="S2" s="25"/>
      <c r="T2"/>
      <c r="U2"/>
      <c r="V2" s="68"/>
    </row>
    <row r="3" spans="1:22" s="27" customFormat="1" ht="30" customHeight="1">
      <c r="A3" s="493" t="s">
        <v>346</v>
      </c>
      <c r="B3" s="494"/>
      <c r="C3" s="119">
        <f>'MS4 Stats'!B10</f>
        <v>100</v>
      </c>
      <c r="D3" s="47"/>
      <c r="E3" s="47"/>
      <c r="H3" s="66"/>
      <c r="I3" s="67"/>
      <c r="J3" s="67"/>
      <c r="K3" s="25"/>
      <c r="L3" s="25"/>
      <c r="M3" s="25"/>
      <c r="N3" s="25"/>
      <c r="O3" s="25"/>
      <c r="P3" s="25"/>
      <c r="Q3" s="25"/>
      <c r="R3" s="25"/>
      <c r="S3" s="25"/>
      <c r="T3"/>
      <c r="U3"/>
      <c r="V3" s="68"/>
    </row>
    <row r="4" spans="1:22" s="27" customFormat="1" ht="45" customHeight="1">
      <c r="A4"/>
      <c r="B4"/>
      <c r="C4"/>
      <c r="D4" s="3"/>
      <c r="E4"/>
      <c r="H4" s="66"/>
      <c r="I4" s="67"/>
      <c r="J4" s="67"/>
      <c r="K4" s="25"/>
      <c r="L4" s="25"/>
      <c r="M4" s="25"/>
      <c r="N4" s="25"/>
      <c r="O4" s="25"/>
      <c r="P4" s="25"/>
      <c r="Q4" s="25"/>
      <c r="R4" s="25"/>
      <c r="S4" s="25"/>
      <c r="T4"/>
      <c r="U4"/>
      <c r="V4" s="68"/>
    </row>
    <row r="5" spans="1:22" s="27" customFormat="1" ht="30" customHeight="1">
      <c r="A5" s="72"/>
      <c r="B5" s="487" t="s">
        <v>479</v>
      </c>
      <c r="C5" s="487"/>
      <c r="D5" s="487" t="s">
        <v>259</v>
      </c>
      <c r="E5" s="488"/>
      <c r="H5" s="66"/>
      <c r="I5" s="67"/>
      <c r="J5" s="67"/>
      <c r="K5" s="25"/>
      <c r="L5" s="25"/>
      <c r="M5" s="25"/>
      <c r="N5" s="25"/>
      <c r="O5" s="25"/>
      <c r="P5" s="25"/>
      <c r="Q5" s="25"/>
      <c r="R5" s="25"/>
      <c r="S5" s="25"/>
      <c r="T5"/>
      <c r="U5"/>
      <c r="V5" s="68"/>
    </row>
    <row r="6" spans="1:22" s="27" customFormat="1" ht="30" customHeight="1">
      <c r="A6" s="102"/>
      <c r="B6" s="103" t="s">
        <v>304</v>
      </c>
      <c r="C6" s="103" t="s">
        <v>305</v>
      </c>
      <c r="D6" s="103" t="s">
        <v>304</v>
      </c>
      <c r="E6" s="104" t="s">
        <v>305</v>
      </c>
      <c r="H6" s="66"/>
      <c r="I6" s="67"/>
      <c r="J6" s="67"/>
      <c r="K6" s="25"/>
      <c r="L6" s="25"/>
      <c r="M6" s="25"/>
      <c r="N6" s="25"/>
      <c r="O6" s="25"/>
      <c r="P6" s="25"/>
      <c r="Q6" s="25"/>
      <c r="R6" s="25"/>
      <c r="S6" s="25"/>
      <c r="T6"/>
      <c r="U6"/>
      <c r="V6" s="68"/>
    </row>
    <row r="7" spans="1:22" s="27" customFormat="1" ht="30" customHeight="1">
      <c r="A7" s="85" t="s">
        <v>63</v>
      </c>
      <c r="B7" s="86">
        <f>R18</f>
        <v>0</v>
      </c>
      <c r="C7" s="87">
        <f>S18</f>
        <v>0</v>
      </c>
      <c r="D7" s="232">
        <f>T18</f>
        <v>0</v>
      </c>
      <c r="E7" s="233">
        <f>U18</f>
        <v>0</v>
      </c>
      <c r="H7" s="66"/>
      <c r="I7" s="67"/>
      <c r="J7" s="67"/>
      <c r="K7" s="25"/>
      <c r="L7" s="25"/>
      <c r="M7" s="25"/>
      <c r="N7" s="25"/>
      <c r="O7" s="25"/>
      <c r="P7" s="25"/>
      <c r="Q7" s="25"/>
      <c r="R7" s="25"/>
      <c r="S7" s="25"/>
      <c r="T7"/>
      <c r="U7"/>
      <c r="V7" s="68"/>
    </row>
    <row r="8" spans="1:22" s="27" customFormat="1" ht="30" customHeight="1">
      <c r="A8" s="90" t="s">
        <v>480</v>
      </c>
      <c r="B8" s="91">
        <f>ROUND(R17,3-(INT(LOG(R17))+1))</f>
        <v>12800</v>
      </c>
      <c r="C8" s="323">
        <f>ROUND(S17,3-(INT(LOG(S17))+1))</f>
        <v>20400</v>
      </c>
      <c r="D8" s="286">
        <f>ROUND(T17,3-(INT(LOG(T17))+1))</f>
        <v>128</v>
      </c>
      <c r="E8" s="286">
        <f>ROUND(U17,3-(INT(LOG(U17))+1))</f>
        <v>204</v>
      </c>
      <c r="H8" s="66"/>
      <c r="I8" s="67"/>
      <c r="J8" s="67"/>
      <c r="K8" s="25"/>
      <c r="L8" s="25"/>
      <c r="M8" s="25"/>
      <c r="N8" s="25"/>
      <c r="O8" s="25"/>
      <c r="P8" s="25"/>
      <c r="Q8" s="25"/>
      <c r="R8" s="25"/>
      <c r="S8" s="25"/>
      <c r="T8"/>
      <c r="U8"/>
      <c r="V8" s="68"/>
    </row>
    <row r="9" spans="1:22" s="27" customFormat="1" ht="30" customHeight="1">
      <c r="A9" s="94" t="s">
        <v>62</v>
      </c>
      <c r="B9" s="95">
        <v>0</v>
      </c>
      <c r="C9" s="95">
        <v>0</v>
      </c>
      <c r="D9" s="96">
        <v>0</v>
      </c>
      <c r="E9" s="97">
        <v>0</v>
      </c>
      <c r="H9" s="66"/>
      <c r="I9" s="67"/>
      <c r="J9" s="67"/>
      <c r="K9" s="25"/>
      <c r="L9" s="25"/>
      <c r="M9" s="25"/>
      <c r="N9" s="25"/>
      <c r="O9" s="25"/>
      <c r="P9" s="25"/>
      <c r="Q9" s="25"/>
      <c r="R9" s="25"/>
      <c r="S9" s="25"/>
      <c r="T9"/>
      <c r="U9"/>
      <c r="V9" s="68"/>
    </row>
    <row r="10" spans="1:22" s="27" customFormat="1" ht="30" customHeight="1">
      <c r="A10" s="98" t="s">
        <v>478</v>
      </c>
      <c r="B10" s="99">
        <f>R19</f>
        <v>12800</v>
      </c>
      <c r="C10" s="99">
        <f>S19</f>
        <v>20400</v>
      </c>
      <c r="D10" s="178">
        <f>T19</f>
        <v>128</v>
      </c>
      <c r="E10" s="178">
        <f>U19</f>
        <v>204</v>
      </c>
      <c r="F10" s="22"/>
      <c r="H10" s="66"/>
      <c r="I10" s="67"/>
      <c r="J10" s="67"/>
      <c r="K10" s="25"/>
      <c r="L10" s="25"/>
      <c r="M10" s="25"/>
      <c r="N10" s="25"/>
      <c r="O10" s="25"/>
      <c r="P10" s="25"/>
      <c r="Q10" s="25"/>
      <c r="R10" s="25"/>
      <c r="S10" s="25"/>
      <c r="T10"/>
      <c r="U10"/>
      <c r="V10" s="68"/>
    </row>
    <row r="11" spans="1:22" s="27" customFormat="1" ht="30" customHeight="1">
      <c r="A11"/>
      <c r="B11"/>
      <c r="C11"/>
      <c r="D11" s="3"/>
      <c r="E11"/>
      <c r="F11" s="22"/>
      <c r="H11" s="66"/>
      <c r="I11" s="67"/>
      <c r="J11" s="67"/>
      <c r="K11" s="25"/>
      <c r="L11" s="25"/>
      <c r="M11" s="25"/>
      <c r="N11" s="25"/>
      <c r="O11" s="25"/>
      <c r="P11" s="25"/>
      <c r="Q11" s="25"/>
      <c r="R11" s="25"/>
      <c r="S11" s="25"/>
      <c r="T11"/>
      <c r="U11"/>
      <c r="V11" s="68"/>
    </row>
    <row r="12" spans="1:22" s="27" customFormat="1" ht="30" customHeight="1">
      <c r="A12"/>
      <c r="B12"/>
      <c r="C12"/>
      <c r="D12" s="3"/>
      <c r="E12"/>
      <c r="F12" s="22"/>
      <c r="H12" s="66"/>
      <c r="I12" s="67"/>
      <c r="J12" s="67"/>
      <c r="K12" s="25"/>
      <c r="L12" s="25"/>
      <c r="M12" s="25"/>
      <c r="N12" s="25"/>
      <c r="O12" s="25"/>
      <c r="P12" s="25"/>
      <c r="Q12" s="25"/>
      <c r="R12" s="25"/>
      <c r="S12" s="25"/>
      <c r="T12"/>
      <c r="U12"/>
      <c r="V12" s="68"/>
    </row>
    <row r="13" spans="1:23" ht="36" customHeight="1">
      <c r="A13" s="585" t="s">
        <v>0</v>
      </c>
      <c r="B13" s="305"/>
      <c r="C13" s="305"/>
      <c r="D13" s="304"/>
      <c r="E13" s="305"/>
      <c r="F13" s="305"/>
      <c r="G13" s="304"/>
      <c r="H13" s="304"/>
      <c r="I13" s="578" t="s">
        <v>497</v>
      </c>
      <c r="J13" s="579"/>
      <c r="K13" s="579"/>
      <c r="L13" s="580"/>
      <c r="M13" s="603" t="s">
        <v>498</v>
      </c>
      <c r="N13" s="603"/>
      <c r="O13" s="603"/>
      <c r="P13" s="603"/>
      <c r="Q13" s="603"/>
      <c r="R13" s="624" t="s">
        <v>499</v>
      </c>
      <c r="S13" s="625"/>
      <c r="T13" s="625"/>
      <c r="U13" s="626"/>
      <c r="V13" s="306"/>
      <c r="W13" s="307"/>
    </row>
    <row r="14" spans="1:23" s="62" customFormat="1" ht="73.5">
      <c r="A14" s="541"/>
      <c r="B14" s="308" t="s">
        <v>29</v>
      </c>
      <c r="C14" s="309" t="s">
        <v>32</v>
      </c>
      <c r="D14" s="309" t="s">
        <v>110</v>
      </c>
      <c r="E14" s="309" t="s">
        <v>70</v>
      </c>
      <c r="F14" s="309"/>
      <c r="G14" s="303" t="s">
        <v>505</v>
      </c>
      <c r="H14" s="303" t="s">
        <v>1</v>
      </c>
      <c r="I14" s="603" t="s">
        <v>259</v>
      </c>
      <c r="J14" s="603"/>
      <c r="K14" s="531" t="s">
        <v>500</v>
      </c>
      <c r="L14" s="531"/>
      <c r="M14" s="531" t="s">
        <v>321</v>
      </c>
      <c r="N14" s="531"/>
      <c r="O14" s="602" t="s">
        <v>450</v>
      </c>
      <c r="P14" s="602"/>
      <c r="Q14" s="299" t="s">
        <v>264</v>
      </c>
      <c r="R14" s="561" t="s">
        <v>326</v>
      </c>
      <c r="S14" s="561"/>
      <c r="T14" s="561" t="s">
        <v>472</v>
      </c>
      <c r="U14" s="561"/>
      <c r="V14" s="310" t="s">
        <v>262</v>
      </c>
      <c r="W14" s="303" t="s">
        <v>261</v>
      </c>
    </row>
    <row r="15" spans="1:23" s="62" customFormat="1" ht="36" customHeight="1">
      <c r="A15" s="542"/>
      <c r="B15" s="308"/>
      <c r="C15" s="309"/>
      <c r="D15" s="309"/>
      <c r="E15" s="309"/>
      <c r="F15" s="309"/>
      <c r="G15" s="303"/>
      <c r="H15" s="303"/>
      <c r="I15" s="300" t="s">
        <v>304</v>
      </c>
      <c r="J15" s="300" t="s">
        <v>305</v>
      </c>
      <c r="K15" s="301" t="s">
        <v>304</v>
      </c>
      <c r="L15" s="301" t="s">
        <v>305</v>
      </c>
      <c r="M15" s="301" t="s">
        <v>304</v>
      </c>
      <c r="N15" s="301" t="s">
        <v>305</v>
      </c>
      <c r="O15" s="302" t="s">
        <v>304</v>
      </c>
      <c r="P15" s="302" t="s">
        <v>305</v>
      </c>
      <c r="Q15" s="299"/>
      <c r="R15" s="301" t="s">
        <v>304</v>
      </c>
      <c r="S15" s="301" t="s">
        <v>305</v>
      </c>
      <c r="T15" s="301" t="s">
        <v>304</v>
      </c>
      <c r="U15" s="301" t="s">
        <v>305</v>
      </c>
      <c r="V15" s="310"/>
      <c r="W15" s="303"/>
    </row>
    <row r="16" spans="1:23" s="62" customFormat="1" ht="36" customHeight="1">
      <c r="A16" s="190">
        <v>1</v>
      </c>
      <c r="B16" s="191"/>
      <c r="C16" s="191" t="s">
        <v>31</v>
      </c>
      <c r="D16" s="191" t="s">
        <v>61</v>
      </c>
      <c r="E16" s="191"/>
      <c r="F16" s="623" t="s">
        <v>265</v>
      </c>
      <c r="G16" s="623"/>
      <c r="H16" s="195" t="s">
        <v>30</v>
      </c>
      <c r="I16" s="192"/>
      <c r="J16" s="192"/>
      <c r="K16" s="193"/>
      <c r="L16" s="193"/>
      <c r="M16" s="193"/>
      <c r="N16" s="193"/>
      <c r="O16" s="193"/>
      <c r="P16" s="193"/>
      <c r="Q16" s="193"/>
      <c r="R16" s="193"/>
      <c r="S16" s="193"/>
      <c r="T16" s="193"/>
      <c r="U16" s="193"/>
      <c r="V16" s="194"/>
      <c r="W16" s="195" t="s">
        <v>260</v>
      </c>
    </row>
    <row r="17" spans="1:23" s="62" customFormat="1" ht="55.5">
      <c r="A17" s="227">
        <v>1.1</v>
      </c>
      <c r="B17" s="200" t="s">
        <v>145</v>
      </c>
      <c r="C17" s="200" t="s">
        <v>65</v>
      </c>
      <c r="D17" s="202" t="s">
        <v>61</v>
      </c>
      <c r="E17" s="200" t="s">
        <v>71</v>
      </c>
      <c r="F17" s="628" t="s">
        <v>521</v>
      </c>
      <c r="G17" s="628"/>
      <c r="H17" s="204" t="s">
        <v>187</v>
      </c>
      <c r="I17" s="228">
        <v>128</v>
      </c>
      <c r="J17" s="228">
        <v>204</v>
      </c>
      <c r="K17" s="206">
        <v>0</v>
      </c>
      <c r="L17" s="206"/>
      <c r="M17" s="206"/>
      <c r="N17" s="206"/>
      <c r="O17" s="205">
        <v>0</v>
      </c>
      <c r="P17" s="205"/>
      <c r="Q17" s="205">
        <v>0</v>
      </c>
      <c r="R17" s="206">
        <f>I17*$C$3+K17+((M17*$C$3+O17)*Q17)</f>
        <v>12800</v>
      </c>
      <c r="S17" s="206">
        <f>J17*$C$3+L17+((N17*$C$3+P17)*R17)</f>
        <v>20400</v>
      </c>
      <c r="T17" s="205">
        <f>I17+(M17*Q17)</f>
        <v>128</v>
      </c>
      <c r="U17" s="205">
        <f>J17+(N17*Q17)</f>
        <v>204</v>
      </c>
      <c r="V17" s="229" t="s">
        <v>448</v>
      </c>
      <c r="W17" s="204" t="s">
        <v>271</v>
      </c>
    </row>
    <row r="18" spans="1:23" s="62" customFormat="1" ht="36" customHeight="1">
      <c r="A18" s="227">
        <v>1.2</v>
      </c>
      <c r="B18" s="200" t="s">
        <v>145</v>
      </c>
      <c r="C18" s="200"/>
      <c r="D18" s="230" t="s">
        <v>63</v>
      </c>
      <c r="E18" s="200" t="s">
        <v>71</v>
      </c>
      <c r="F18" s="627" t="s">
        <v>216</v>
      </c>
      <c r="G18" s="627"/>
      <c r="H18" s="200" t="s">
        <v>217</v>
      </c>
      <c r="I18" s="205">
        <v>0</v>
      </c>
      <c r="J18" s="205">
        <v>0</v>
      </c>
      <c r="K18" s="206">
        <v>0</v>
      </c>
      <c r="L18" s="206"/>
      <c r="M18" s="205">
        <v>0</v>
      </c>
      <c r="N18" s="205"/>
      <c r="O18" s="206">
        <v>0</v>
      </c>
      <c r="P18" s="206"/>
      <c r="Q18" s="205">
        <v>0</v>
      </c>
      <c r="R18" s="206">
        <f>I18*$C$3+K18+((M18*$C$3+O18)*Q18)</f>
        <v>0</v>
      </c>
      <c r="S18" s="206">
        <f>J18*$C$3+L18+((N18*$C$3+P18)*R18)</f>
        <v>0</v>
      </c>
      <c r="T18" s="205">
        <f>I18+(M18*Q18)</f>
        <v>0</v>
      </c>
      <c r="U18" s="205">
        <f>J18+(N18*Q18)</f>
        <v>0</v>
      </c>
      <c r="V18" s="207" t="s">
        <v>268</v>
      </c>
      <c r="W18" s="204" t="s">
        <v>260</v>
      </c>
    </row>
    <row r="19" spans="1:23" s="62" customFormat="1" ht="36" customHeight="1">
      <c r="A19" s="218"/>
      <c r="B19" s="218"/>
      <c r="C19" s="218"/>
      <c r="D19" s="218"/>
      <c r="E19" s="218"/>
      <c r="F19" s="218"/>
      <c r="G19" s="218"/>
      <c r="H19" s="218"/>
      <c r="I19" s="221"/>
      <c r="J19" s="221"/>
      <c r="K19" s="222"/>
      <c r="L19" s="222"/>
      <c r="M19" s="222"/>
      <c r="N19" s="222"/>
      <c r="O19" s="222"/>
      <c r="P19" s="222"/>
      <c r="Q19" s="223" t="s">
        <v>332</v>
      </c>
      <c r="R19" s="224">
        <f>ROUND((SUM(R17:R18)),3-(INT(LOG((SUM(R17:R18))+1))))</f>
        <v>12800</v>
      </c>
      <c r="S19" s="352">
        <f>ROUND((SUM(S17:S18)),3-(INT(LOG((SUM(S17:S18))+1))))</f>
        <v>20400</v>
      </c>
      <c r="T19" s="353">
        <f>ROUND((SUM(T17:T18)),3-(INT(LOG((SUM(T17:T18))+1))))</f>
        <v>128</v>
      </c>
      <c r="U19" s="353">
        <f>ROUND((SUM(U17:U18)),3-(INT(LOG((SUM(U17:U18))+1))))</f>
        <v>204</v>
      </c>
      <c r="V19" s="225"/>
      <c r="W19" s="218"/>
    </row>
    <row r="20" spans="9:23" s="62" customFormat="1" ht="36" customHeight="1">
      <c r="I20" s="17"/>
      <c r="J20" s="17"/>
      <c r="K20" s="56"/>
      <c r="L20" s="56"/>
      <c r="M20" s="56"/>
      <c r="N20" s="56"/>
      <c r="O20" s="56"/>
      <c r="P20" s="56"/>
      <c r="Q20" s="56"/>
      <c r="R20" s="56"/>
      <c r="S20" s="56"/>
      <c r="T20" s="56"/>
      <c r="U20" s="56"/>
      <c r="V20" s="63"/>
      <c r="W20" s="145"/>
    </row>
    <row r="21" s="62" customFormat="1" ht="13.5"/>
    <row r="22" s="62" customFormat="1" ht="13.5"/>
    <row r="23" spans="2:22" ht="13.5">
      <c r="B23"/>
      <c r="C23"/>
      <c r="E23"/>
      <c r="F23"/>
      <c r="I23"/>
      <c r="J23"/>
      <c r="K23"/>
      <c r="L23"/>
      <c r="M23"/>
      <c r="N23"/>
      <c r="O23"/>
      <c r="P23"/>
      <c r="Q23"/>
      <c r="R23"/>
      <c r="S23"/>
      <c r="T23"/>
      <c r="U23"/>
      <c r="V23"/>
    </row>
    <row r="24" spans="2:22" ht="13.5">
      <c r="B24"/>
      <c r="C24"/>
      <c r="E24"/>
      <c r="F24"/>
      <c r="I24"/>
      <c r="J24"/>
      <c r="K24"/>
      <c r="L24"/>
      <c r="M24"/>
      <c r="N24"/>
      <c r="O24"/>
      <c r="P24"/>
      <c r="Q24"/>
      <c r="R24"/>
      <c r="S24"/>
      <c r="T24"/>
      <c r="U24"/>
      <c r="V24"/>
    </row>
    <row r="25" spans="2:22" ht="13.5">
      <c r="B25"/>
      <c r="C25"/>
      <c r="E25"/>
      <c r="F25"/>
      <c r="I25"/>
      <c r="J25"/>
      <c r="K25"/>
      <c r="L25"/>
      <c r="M25"/>
      <c r="N25"/>
      <c r="O25"/>
      <c r="P25"/>
      <c r="Q25"/>
      <c r="R25"/>
      <c r="S25"/>
      <c r="T25"/>
      <c r="U25"/>
      <c r="V25"/>
    </row>
    <row r="26" spans="2:22" ht="13.5">
      <c r="B26"/>
      <c r="C26"/>
      <c r="E26"/>
      <c r="F26"/>
      <c r="I26"/>
      <c r="J26"/>
      <c r="K26"/>
      <c r="L26"/>
      <c r="M26"/>
      <c r="N26"/>
      <c r="O26"/>
      <c r="P26"/>
      <c r="Q26"/>
      <c r="R26"/>
      <c r="S26"/>
      <c r="T26"/>
      <c r="U26"/>
      <c r="V26"/>
    </row>
    <row r="27" spans="2:22" ht="13.5">
      <c r="B27"/>
      <c r="C27"/>
      <c r="E27"/>
      <c r="F27"/>
      <c r="I27"/>
      <c r="J27"/>
      <c r="K27"/>
      <c r="L27"/>
      <c r="M27"/>
      <c r="N27"/>
      <c r="O27"/>
      <c r="P27"/>
      <c r="Q27"/>
      <c r="R27"/>
      <c r="S27"/>
      <c r="T27"/>
      <c r="U27"/>
      <c r="V27"/>
    </row>
    <row r="28" spans="2:22" ht="13.5">
      <c r="B28"/>
      <c r="C28"/>
      <c r="E28"/>
      <c r="F28"/>
      <c r="I28"/>
      <c r="J28"/>
      <c r="K28"/>
      <c r="L28"/>
      <c r="M28"/>
      <c r="N28"/>
      <c r="O28"/>
      <c r="P28"/>
      <c r="Q28"/>
      <c r="R28"/>
      <c r="S28"/>
      <c r="T28"/>
      <c r="U28"/>
      <c r="V28"/>
    </row>
    <row r="29" spans="2:22" ht="13.5">
      <c r="B29"/>
      <c r="C29"/>
      <c r="E29"/>
      <c r="F29"/>
      <c r="I29"/>
      <c r="J29"/>
      <c r="K29"/>
      <c r="L29"/>
      <c r="M29"/>
      <c r="N29"/>
      <c r="O29"/>
      <c r="P29"/>
      <c r="Q29"/>
      <c r="R29"/>
      <c r="S29"/>
      <c r="T29"/>
      <c r="U29"/>
      <c r="V29"/>
    </row>
    <row r="30" spans="2:22" ht="13.5">
      <c r="B30"/>
      <c r="C30"/>
      <c r="E30"/>
      <c r="F30"/>
      <c r="I30"/>
      <c r="J30"/>
      <c r="K30"/>
      <c r="L30"/>
      <c r="M30"/>
      <c r="N30"/>
      <c r="O30"/>
      <c r="P30"/>
      <c r="Q30"/>
      <c r="R30"/>
      <c r="S30"/>
      <c r="T30"/>
      <c r="U30"/>
      <c r="V30"/>
    </row>
    <row r="31" spans="2:22" ht="13.5">
      <c r="B31"/>
      <c r="C31"/>
      <c r="E31"/>
      <c r="F31"/>
      <c r="I31"/>
      <c r="J31"/>
      <c r="K31"/>
      <c r="L31"/>
      <c r="M31"/>
      <c r="N31"/>
      <c r="O31"/>
      <c r="P31"/>
      <c r="Q31"/>
      <c r="R31"/>
      <c r="S31"/>
      <c r="T31"/>
      <c r="U31"/>
      <c r="V31"/>
    </row>
    <row r="32" spans="2:22" ht="13.5">
      <c r="B32"/>
      <c r="C32"/>
      <c r="E32"/>
      <c r="F32"/>
      <c r="I32"/>
      <c r="J32"/>
      <c r="K32"/>
      <c r="L32"/>
      <c r="M32"/>
      <c r="N32"/>
      <c r="O32"/>
      <c r="P32"/>
      <c r="Q32"/>
      <c r="R32"/>
      <c r="S32"/>
      <c r="T32"/>
      <c r="U32"/>
      <c r="V32"/>
    </row>
    <row r="33" spans="2:22" ht="13.5">
      <c r="B33"/>
      <c r="C33"/>
      <c r="E33"/>
      <c r="F33"/>
      <c r="I33"/>
      <c r="J33"/>
      <c r="K33"/>
      <c r="L33"/>
      <c r="M33"/>
      <c r="N33"/>
      <c r="O33"/>
      <c r="P33"/>
      <c r="Q33"/>
      <c r="R33"/>
      <c r="S33"/>
      <c r="T33"/>
      <c r="U33"/>
      <c r="V33"/>
    </row>
    <row r="34" spans="2:22" ht="13.5">
      <c r="B34"/>
      <c r="C34"/>
      <c r="E34"/>
      <c r="F34"/>
      <c r="I34"/>
      <c r="J34"/>
      <c r="K34"/>
      <c r="L34"/>
      <c r="M34"/>
      <c r="N34"/>
      <c r="O34"/>
      <c r="P34"/>
      <c r="Q34"/>
      <c r="R34"/>
      <c r="S34"/>
      <c r="T34"/>
      <c r="U34"/>
      <c r="V34"/>
    </row>
    <row r="35" spans="2:22" ht="13.5">
      <c r="B35"/>
      <c r="C35"/>
      <c r="E35"/>
      <c r="F35"/>
      <c r="I35"/>
      <c r="J35"/>
      <c r="K35"/>
      <c r="L35"/>
      <c r="M35"/>
      <c r="N35"/>
      <c r="O35"/>
      <c r="P35"/>
      <c r="Q35"/>
      <c r="R35"/>
      <c r="S35"/>
      <c r="T35"/>
      <c r="U35"/>
      <c r="V35"/>
    </row>
    <row r="36" spans="2:22" ht="13.5">
      <c r="B36"/>
      <c r="C36"/>
      <c r="E36"/>
      <c r="F36"/>
      <c r="I36"/>
      <c r="J36"/>
      <c r="K36"/>
      <c r="L36"/>
      <c r="M36"/>
      <c r="N36"/>
      <c r="O36"/>
      <c r="P36"/>
      <c r="Q36"/>
      <c r="R36"/>
      <c r="S36"/>
      <c r="T36"/>
      <c r="U36"/>
      <c r="V36"/>
    </row>
    <row r="37" spans="2:22" ht="13.5">
      <c r="B37"/>
      <c r="C37"/>
      <c r="E37"/>
      <c r="F37"/>
      <c r="I37"/>
      <c r="J37"/>
      <c r="K37"/>
      <c r="L37"/>
      <c r="M37"/>
      <c r="N37"/>
      <c r="O37"/>
      <c r="P37"/>
      <c r="Q37"/>
      <c r="R37"/>
      <c r="S37"/>
      <c r="T37"/>
      <c r="U37"/>
      <c r="V37"/>
    </row>
    <row r="38" spans="2:22" ht="13.5">
      <c r="B38"/>
      <c r="C38"/>
      <c r="E38"/>
      <c r="F38"/>
      <c r="I38"/>
      <c r="J38"/>
      <c r="K38"/>
      <c r="L38"/>
      <c r="M38"/>
      <c r="N38"/>
      <c r="O38"/>
      <c r="P38"/>
      <c r="Q38"/>
      <c r="R38"/>
      <c r="S38"/>
      <c r="T38"/>
      <c r="U38"/>
      <c r="V38"/>
    </row>
    <row r="39" spans="2:22" ht="13.5">
      <c r="B39"/>
      <c r="C39"/>
      <c r="E39"/>
      <c r="F39"/>
      <c r="I39"/>
      <c r="J39"/>
      <c r="K39"/>
      <c r="L39"/>
      <c r="M39"/>
      <c r="N39"/>
      <c r="O39"/>
      <c r="P39"/>
      <c r="Q39"/>
      <c r="R39"/>
      <c r="S39"/>
      <c r="T39"/>
      <c r="U39"/>
      <c r="V39"/>
    </row>
    <row r="40" spans="2:22" ht="13.5">
      <c r="B40"/>
      <c r="C40"/>
      <c r="E40"/>
      <c r="F40"/>
      <c r="I40"/>
      <c r="J40"/>
      <c r="K40"/>
      <c r="L40"/>
      <c r="M40"/>
      <c r="N40"/>
      <c r="O40"/>
      <c r="P40"/>
      <c r="Q40"/>
      <c r="R40"/>
      <c r="S40"/>
      <c r="T40"/>
      <c r="U40"/>
      <c r="V40"/>
    </row>
    <row r="41" spans="2:22" ht="13.5">
      <c r="B41"/>
      <c r="C41"/>
      <c r="E41"/>
      <c r="F41"/>
      <c r="I41"/>
      <c r="J41"/>
      <c r="K41"/>
      <c r="L41"/>
      <c r="M41"/>
      <c r="N41"/>
      <c r="O41"/>
      <c r="P41"/>
      <c r="Q41"/>
      <c r="R41"/>
      <c r="S41"/>
      <c r="T41"/>
      <c r="U41"/>
      <c r="V41"/>
    </row>
    <row r="42" spans="2:22" ht="13.5">
      <c r="B42"/>
      <c r="C42"/>
      <c r="E42"/>
      <c r="F42"/>
      <c r="I42"/>
      <c r="J42"/>
      <c r="K42"/>
      <c r="L42"/>
      <c r="M42"/>
      <c r="N42"/>
      <c r="O42"/>
      <c r="P42"/>
      <c r="Q42"/>
      <c r="R42"/>
      <c r="S42"/>
      <c r="T42"/>
      <c r="U42"/>
      <c r="V42"/>
    </row>
    <row r="43" spans="2:22" ht="13.5">
      <c r="B43"/>
      <c r="C43"/>
      <c r="E43"/>
      <c r="F43"/>
      <c r="I43"/>
      <c r="J43"/>
      <c r="K43"/>
      <c r="L43"/>
      <c r="M43"/>
      <c r="N43"/>
      <c r="O43"/>
      <c r="P43"/>
      <c r="Q43"/>
      <c r="R43"/>
      <c r="S43"/>
      <c r="T43"/>
      <c r="U43"/>
      <c r="V43"/>
    </row>
    <row r="44" spans="2:22" ht="13.5">
      <c r="B44"/>
      <c r="C44"/>
      <c r="E44"/>
      <c r="F44"/>
      <c r="I44"/>
      <c r="J44"/>
      <c r="K44"/>
      <c r="L44"/>
      <c r="M44"/>
      <c r="N44"/>
      <c r="O44"/>
      <c r="P44"/>
      <c r="Q44"/>
      <c r="R44"/>
      <c r="S44"/>
      <c r="T44"/>
      <c r="U44"/>
      <c r="V44"/>
    </row>
    <row r="45" spans="2:22" ht="13.5">
      <c r="B45"/>
      <c r="C45"/>
      <c r="E45"/>
      <c r="F45"/>
      <c r="I45"/>
      <c r="J45"/>
      <c r="K45"/>
      <c r="L45"/>
      <c r="M45"/>
      <c r="N45"/>
      <c r="O45"/>
      <c r="P45"/>
      <c r="Q45"/>
      <c r="R45"/>
      <c r="S45"/>
      <c r="T45"/>
      <c r="U45"/>
      <c r="V45"/>
    </row>
    <row r="46" spans="2:22" ht="13.5">
      <c r="B46"/>
      <c r="C46"/>
      <c r="E46"/>
      <c r="F46"/>
      <c r="I46"/>
      <c r="J46"/>
      <c r="K46"/>
      <c r="L46"/>
      <c r="M46"/>
      <c r="N46"/>
      <c r="O46"/>
      <c r="P46"/>
      <c r="Q46"/>
      <c r="R46"/>
      <c r="S46"/>
      <c r="T46"/>
      <c r="U46"/>
      <c r="V46"/>
    </row>
    <row r="47" spans="2:22" ht="13.5">
      <c r="B47"/>
      <c r="C47"/>
      <c r="E47"/>
      <c r="F47"/>
      <c r="I47"/>
      <c r="J47"/>
      <c r="K47"/>
      <c r="L47"/>
      <c r="M47"/>
      <c r="N47"/>
      <c r="O47"/>
      <c r="P47"/>
      <c r="Q47"/>
      <c r="R47"/>
      <c r="S47"/>
      <c r="T47"/>
      <c r="U47"/>
      <c r="V47"/>
    </row>
    <row r="48" spans="2:22" ht="13.5">
      <c r="B48"/>
      <c r="C48"/>
      <c r="E48"/>
      <c r="F48"/>
      <c r="I48"/>
      <c r="J48"/>
      <c r="K48"/>
      <c r="L48"/>
      <c r="M48"/>
      <c r="N48"/>
      <c r="O48"/>
      <c r="P48"/>
      <c r="Q48"/>
      <c r="R48"/>
      <c r="S48"/>
      <c r="T48"/>
      <c r="U48"/>
      <c r="V48"/>
    </row>
    <row r="49" spans="2:22" ht="13.5">
      <c r="B49"/>
      <c r="C49"/>
      <c r="E49"/>
      <c r="F49"/>
      <c r="I49"/>
      <c r="J49"/>
      <c r="K49"/>
      <c r="L49"/>
      <c r="M49"/>
      <c r="N49"/>
      <c r="O49"/>
      <c r="P49"/>
      <c r="Q49"/>
      <c r="R49"/>
      <c r="S49"/>
      <c r="T49"/>
      <c r="U49"/>
      <c r="V49"/>
    </row>
    <row r="50" spans="2:22" ht="13.5">
      <c r="B50"/>
      <c r="C50"/>
      <c r="E50"/>
      <c r="F50"/>
      <c r="I50"/>
      <c r="J50"/>
      <c r="K50"/>
      <c r="L50"/>
      <c r="M50"/>
      <c r="N50"/>
      <c r="O50"/>
      <c r="P50"/>
      <c r="Q50"/>
      <c r="R50"/>
      <c r="S50"/>
      <c r="T50"/>
      <c r="U50"/>
      <c r="V50"/>
    </row>
    <row r="51" spans="2:22" ht="13.5">
      <c r="B51"/>
      <c r="C51"/>
      <c r="E51"/>
      <c r="F51"/>
      <c r="I51"/>
      <c r="J51"/>
      <c r="K51"/>
      <c r="L51"/>
      <c r="M51"/>
      <c r="N51"/>
      <c r="O51"/>
      <c r="P51"/>
      <c r="Q51"/>
      <c r="R51"/>
      <c r="S51"/>
      <c r="T51"/>
      <c r="U51"/>
      <c r="V51"/>
    </row>
    <row r="52" spans="2:22" ht="13.5">
      <c r="B52"/>
      <c r="C52"/>
      <c r="E52"/>
      <c r="F52"/>
      <c r="I52"/>
      <c r="J52"/>
      <c r="K52"/>
      <c r="L52"/>
      <c r="M52"/>
      <c r="N52"/>
      <c r="O52"/>
      <c r="P52"/>
      <c r="Q52"/>
      <c r="R52"/>
      <c r="S52"/>
      <c r="T52"/>
      <c r="U52"/>
      <c r="V52"/>
    </row>
    <row r="53" spans="2:22" ht="13.5">
      <c r="B53"/>
      <c r="C53"/>
      <c r="E53"/>
      <c r="F53"/>
      <c r="I53"/>
      <c r="J53"/>
      <c r="K53"/>
      <c r="L53"/>
      <c r="M53"/>
      <c r="N53"/>
      <c r="O53"/>
      <c r="P53"/>
      <c r="Q53"/>
      <c r="R53"/>
      <c r="S53"/>
      <c r="T53"/>
      <c r="U53"/>
      <c r="V53"/>
    </row>
    <row r="54" spans="2:22" ht="13.5">
      <c r="B54"/>
      <c r="C54"/>
      <c r="E54"/>
      <c r="F54"/>
      <c r="I54"/>
      <c r="J54"/>
      <c r="K54"/>
      <c r="L54"/>
      <c r="M54"/>
      <c r="N54"/>
      <c r="O54"/>
      <c r="P54"/>
      <c r="Q54"/>
      <c r="R54"/>
      <c r="S54"/>
      <c r="T54"/>
      <c r="U54"/>
      <c r="V54"/>
    </row>
    <row r="55" spans="2:22" ht="13.5">
      <c r="B55"/>
      <c r="C55"/>
      <c r="E55"/>
      <c r="F55"/>
      <c r="I55"/>
      <c r="J55"/>
      <c r="K55"/>
      <c r="L55"/>
      <c r="M55"/>
      <c r="N55"/>
      <c r="O55"/>
      <c r="P55"/>
      <c r="Q55"/>
      <c r="R55"/>
      <c r="S55"/>
      <c r="T55"/>
      <c r="U55"/>
      <c r="V55"/>
    </row>
    <row r="56" spans="2:22" ht="13.5">
      <c r="B56"/>
      <c r="C56"/>
      <c r="E56"/>
      <c r="F56"/>
      <c r="I56"/>
      <c r="J56"/>
      <c r="K56"/>
      <c r="L56"/>
      <c r="M56"/>
      <c r="N56"/>
      <c r="O56"/>
      <c r="P56"/>
      <c r="Q56"/>
      <c r="R56"/>
      <c r="S56"/>
      <c r="T56"/>
      <c r="U56"/>
      <c r="V56"/>
    </row>
    <row r="57" spans="2:22" ht="13.5">
      <c r="B57"/>
      <c r="C57"/>
      <c r="E57"/>
      <c r="F57"/>
      <c r="I57"/>
      <c r="J57"/>
      <c r="K57"/>
      <c r="L57"/>
      <c r="M57"/>
      <c r="N57"/>
      <c r="O57"/>
      <c r="P57"/>
      <c r="Q57"/>
      <c r="R57"/>
      <c r="S57"/>
      <c r="T57"/>
      <c r="U57"/>
      <c r="V57"/>
    </row>
    <row r="58" spans="2:22" ht="13.5">
      <c r="B58"/>
      <c r="C58"/>
      <c r="E58"/>
      <c r="F58"/>
      <c r="I58"/>
      <c r="J58"/>
      <c r="K58"/>
      <c r="L58"/>
      <c r="M58"/>
      <c r="N58"/>
      <c r="O58"/>
      <c r="P58"/>
      <c r="Q58"/>
      <c r="R58"/>
      <c r="S58"/>
      <c r="T58"/>
      <c r="U58"/>
      <c r="V58"/>
    </row>
    <row r="59" spans="2:22" ht="13.5">
      <c r="B59"/>
      <c r="C59"/>
      <c r="E59"/>
      <c r="F59"/>
      <c r="I59"/>
      <c r="J59"/>
      <c r="K59"/>
      <c r="L59"/>
      <c r="M59"/>
      <c r="N59"/>
      <c r="O59"/>
      <c r="P59"/>
      <c r="Q59"/>
      <c r="R59"/>
      <c r="S59"/>
      <c r="T59"/>
      <c r="U59"/>
      <c r="V59"/>
    </row>
    <row r="60" spans="2:22" ht="13.5">
      <c r="B60"/>
      <c r="C60"/>
      <c r="E60"/>
      <c r="F60"/>
      <c r="I60"/>
      <c r="J60"/>
      <c r="K60"/>
      <c r="L60"/>
      <c r="M60"/>
      <c r="N60"/>
      <c r="O60"/>
      <c r="P60"/>
      <c r="Q60"/>
      <c r="R60"/>
      <c r="S60"/>
      <c r="T60"/>
      <c r="U60"/>
      <c r="V60"/>
    </row>
    <row r="61" spans="2:22" ht="13.5">
      <c r="B61"/>
      <c r="C61"/>
      <c r="E61"/>
      <c r="F61"/>
      <c r="I61"/>
      <c r="J61"/>
      <c r="K61"/>
      <c r="L61"/>
      <c r="M61"/>
      <c r="N61"/>
      <c r="O61"/>
      <c r="P61"/>
      <c r="Q61"/>
      <c r="R61"/>
      <c r="S61"/>
      <c r="T61"/>
      <c r="U61"/>
      <c r="V61"/>
    </row>
    <row r="62" spans="2:22" ht="13.5">
      <c r="B62"/>
      <c r="C62"/>
      <c r="E62"/>
      <c r="F62"/>
      <c r="I62"/>
      <c r="J62"/>
      <c r="K62"/>
      <c r="L62"/>
      <c r="M62"/>
      <c r="N62"/>
      <c r="O62"/>
      <c r="P62"/>
      <c r="Q62"/>
      <c r="R62"/>
      <c r="S62"/>
      <c r="T62"/>
      <c r="U62"/>
      <c r="V62"/>
    </row>
    <row r="63" spans="2:22" ht="13.5">
      <c r="B63"/>
      <c r="C63"/>
      <c r="E63"/>
      <c r="F63"/>
      <c r="I63"/>
      <c r="J63"/>
      <c r="K63"/>
      <c r="L63"/>
      <c r="M63"/>
      <c r="N63"/>
      <c r="O63"/>
      <c r="P63"/>
      <c r="Q63"/>
      <c r="R63"/>
      <c r="S63"/>
      <c r="T63"/>
      <c r="U63"/>
      <c r="V63"/>
    </row>
    <row r="64" spans="2:22" ht="13.5">
      <c r="B64"/>
      <c r="C64"/>
      <c r="E64"/>
      <c r="F64"/>
      <c r="I64"/>
      <c r="J64"/>
      <c r="K64"/>
      <c r="L64"/>
      <c r="M64"/>
      <c r="N64"/>
      <c r="O64"/>
      <c r="P64"/>
      <c r="Q64"/>
      <c r="R64"/>
      <c r="S64"/>
      <c r="T64"/>
      <c r="U64"/>
      <c r="V64"/>
    </row>
    <row r="65" spans="2:22" ht="13.5">
      <c r="B65"/>
      <c r="C65"/>
      <c r="E65"/>
      <c r="F65"/>
      <c r="I65"/>
      <c r="J65"/>
      <c r="K65"/>
      <c r="L65"/>
      <c r="M65"/>
      <c r="N65"/>
      <c r="O65"/>
      <c r="P65"/>
      <c r="Q65"/>
      <c r="R65"/>
      <c r="S65"/>
      <c r="T65"/>
      <c r="U65"/>
      <c r="V65"/>
    </row>
    <row r="66" spans="2:22" ht="13.5">
      <c r="B66"/>
      <c r="C66"/>
      <c r="E66"/>
      <c r="F66"/>
      <c r="I66"/>
      <c r="J66"/>
      <c r="K66"/>
      <c r="L66"/>
      <c r="M66"/>
      <c r="N66"/>
      <c r="O66"/>
      <c r="P66"/>
      <c r="Q66"/>
      <c r="R66"/>
      <c r="S66"/>
      <c r="T66"/>
      <c r="U66"/>
      <c r="V66"/>
    </row>
    <row r="67" spans="2:22" ht="13.5">
      <c r="B67"/>
      <c r="C67"/>
      <c r="E67"/>
      <c r="F67"/>
      <c r="I67"/>
      <c r="J67"/>
      <c r="K67"/>
      <c r="L67"/>
      <c r="M67"/>
      <c r="N67"/>
      <c r="O67"/>
      <c r="P67"/>
      <c r="Q67"/>
      <c r="R67"/>
      <c r="S67"/>
      <c r="T67"/>
      <c r="U67"/>
      <c r="V67"/>
    </row>
    <row r="68" spans="2:22" ht="13.5">
      <c r="B68"/>
      <c r="C68"/>
      <c r="E68"/>
      <c r="F68"/>
      <c r="I68"/>
      <c r="J68"/>
      <c r="K68"/>
      <c r="L68"/>
      <c r="M68"/>
      <c r="N68"/>
      <c r="O68"/>
      <c r="P68"/>
      <c r="Q68"/>
      <c r="R68"/>
      <c r="S68"/>
      <c r="T68"/>
      <c r="U68"/>
      <c r="V68"/>
    </row>
    <row r="69" spans="2:22" ht="13.5">
      <c r="B69"/>
      <c r="C69"/>
      <c r="E69"/>
      <c r="F69"/>
      <c r="I69"/>
      <c r="J69"/>
      <c r="K69"/>
      <c r="L69"/>
      <c r="M69"/>
      <c r="N69"/>
      <c r="O69"/>
      <c r="P69"/>
      <c r="Q69"/>
      <c r="R69"/>
      <c r="S69"/>
      <c r="T69"/>
      <c r="U69"/>
      <c r="V69"/>
    </row>
    <row r="70" spans="2:22" ht="13.5">
      <c r="B70"/>
      <c r="C70"/>
      <c r="E70"/>
      <c r="F70"/>
      <c r="I70"/>
      <c r="J70"/>
      <c r="K70"/>
      <c r="L70"/>
      <c r="M70"/>
      <c r="N70"/>
      <c r="O70"/>
      <c r="P70"/>
      <c r="Q70"/>
      <c r="R70"/>
      <c r="S70"/>
      <c r="T70"/>
      <c r="U70"/>
      <c r="V70"/>
    </row>
    <row r="71" spans="2:22" ht="13.5">
      <c r="B71"/>
      <c r="C71"/>
      <c r="E71"/>
      <c r="F71"/>
      <c r="I71"/>
      <c r="J71"/>
      <c r="K71"/>
      <c r="L71"/>
      <c r="M71"/>
      <c r="N71"/>
      <c r="O71"/>
      <c r="P71"/>
      <c r="Q71"/>
      <c r="R71"/>
      <c r="S71"/>
      <c r="T71"/>
      <c r="U71"/>
      <c r="V71"/>
    </row>
    <row r="72" spans="2:22" ht="13.5">
      <c r="B72"/>
      <c r="C72"/>
      <c r="E72"/>
      <c r="F72"/>
      <c r="I72"/>
      <c r="J72"/>
      <c r="K72"/>
      <c r="L72"/>
      <c r="M72"/>
      <c r="N72"/>
      <c r="O72"/>
      <c r="P72"/>
      <c r="Q72"/>
      <c r="R72"/>
      <c r="S72"/>
      <c r="T72"/>
      <c r="U72"/>
      <c r="V72"/>
    </row>
    <row r="73" spans="2:22" ht="13.5">
      <c r="B73"/>
      <c r="C73"/>
      <c r="E73"/>
      <c r="F73"/>
      <c r="I73"/>
      <c r="J73"/>
      <c r="K73"/>
      <c r="L73"/>
      <c r="M73"/>
      <c r="N73"/>
      <c r="O73"/>
      <c r="P73"/>
      <c r="Q73"/>
      <c r="R73"/>
      <c r="S73"/>
      <c r="T73"/>
      <c r="U73"/>
      <c r="V73"/>
    </row>
    <row r="74" spans="2:22" ht="13.5">
      <c r="B74"/>
      <c r="C74"/>
      <c r="E74"/>
      <c r="F74"/>
      <c r="I74"/>
      <c r="J74"/>
      <c r="K74"/>
      <c r="L74"/>
      <c r="M74"/>
      <c r="N74"/>
      <c r="O74"/>
      <c r="P74"/>
      <c r="Q74"/>
      <c r="R74"/>
      <c r="S74"/>
      <c r="T74"/>
      <c r="U74"/>
      <c r="V74"/>
    </row>
    <row r="75" spans="2:22" ht="13.5">
      <c r="B75"/>
      <c r="C75"/>
      <c r="E75"/>
      <c r="F75"/>
      <c r="I75"/>
      <c r="J75"/>
      <c r="K75"/>
      <c r="L75"/>
      <c r="M75"/>
      <c r="N75"/>
      <c r="O75"/>
      <c r="P75"/>
      <c r="Q75"/>
      <c r="R75"/>
      <c r="S75"/>
      <c r="T75"/>
      <c r="U75"/>
      <c r="V75"/>
    </row>
    <row r="76" spans="2:22" ht="13.5">
      <c r="B76"/>
      <c r="C76"/>
      <c r="E76"/>
      <c r="F76"/>
      <c r="I76"/>
      <c r="J76"/>
      <c r="K76"/>
      <c r="L76"/>
      <c r="M76"/>
      <c r="N76"/>
      <c r="O76"/>
      <c r="P76"/>
      <c r="Q76"/>
      <c r="R76"/>
      <c r="S76"/>
      <c r="T76"/>
      <c r="U76"/>
      <c r="V76"/>
    </row>
    <row r="78" spans="2:22" ht="13.5">
      <c r="B78"/>
      <c r="C78"/>
      <c r="E78"/>
      <c r="F78"/>
      <c r="I78"/>
      <c r="J78"/>
      <c r="K78"/>
      <c r="L78"/>
      <c r="M78"/>
      <c r="N78"/>
      <c r="O78"/>
      <c r="P78"/>
      <c r="Q78"/>
      <c r="R78"/>
      <c r="S78"/>
      <c r="T78"/>
      <c r="U78"/>
      <c r="V78"/>
    </row>
    <row r="80" spans="2:22" ht="13.5">
      <c r="B80"/>
      <c r="C80"/>
      <c r="E80"/>
      <c r="F80"/>
      <c r="I80"/>
      <c r="J80"/>
      <c r="K80"/>
      <c r="L80"/>
      <c r="M80"/>
      <c r="N80"/>
      <c r="O80"/>
      <c r="P80"/>
      <c r="Q80"/>
      <c r="R80"/>
      <c r="S80"/>
      <c r="T80"/>
      <c r="U80"/>
      <c r="V80"/>
    </row>
    <row r="82" spans="2:22" ht="13.5">
      <c r="B82"/>
      <c r="C82"/>
      <c r="E82"/>
      <c r="F82"/>
      <c r="I82"/>
      <c r="J82"/>
      <c r="K82"/>
      <c r="L82"/>
      <c r="M82"/>
      <c r="N82"/>
      <c r="O82"/>
      <c r="P82"/>
      <c r="Q82"/>
      <c r="R82"/>
      <c r="S82"/>
      <c r="T82"/>
      <c r="U82"/>
      <c r="V82"/>
    </row>
    <row r="83" spans="2:22" ht="13.5">
      <c r="B83"/>
      <c r="C83"/>
      <c r="E83"/>
      <c r="F83"/>
      <c r="I83"/>
      <c r="J83"/>
      <c r="K83"/>
      <c r="L83"/>
      <c r="M83"/>
      <c r="N83"/>
      <c r="O83"/>
      <c r="P83"/>
      <c r="Q83"/>
      <c r="R83"/>
      <c r="S83"/>
      <c r="T83"/>
      <c r="U83"/>
      <c r="V83"/>
    </row>
  </sheetData>
  <sheetProtection/>
  <mergeCells count="17">
    <mergeCell ref="F18:G18"/>
    <mergeCell ref="A2:C2"/>
    <mergeCell ref="A3:B3"/>
    <mergeCell ref="B5:C5"/>
    <mergeCell ref="D5:E5"/>
    <mergeCell ref="F16:G16"/>
    <mergeCell ref="F17:G17"/>
    <mergeCell ref="I13:L13"/>
    <mergeCell ref="R13:U13"/>
    <mergeCell ref="A13:A15"/>
    <mergeCell ref="T14:U14"/>
    <mergeCell ref="M13:Q13"/>
    <mergeCell ref="I14:J14"/>
    <mergeCell ref="R14:S14"/>
    <mergeCell ref="K14:L14"/>
    <mergeCell ref="M14:N14"/>
    <mergeCell ref="O14:P14"/>
  </mergeCells>
  <printOp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sheetPr>
    <pageSetUpPr fitToPage="1"/>
  </sheetPr>
  <dimension ref="A1:AF84"/>
  <sheetViews>
    <sheetView zoomScale="85" zoomScaleNormal="85" workbookViewId="0" topLeftCell="A1">
      <selection activeCell="A16" sqref="A16"/>
    </sheetView>
  </sheetViews>
  <sheetFormatPr defaultColWidth="8.8515625" defaultRowHeight="15"/>
  <cols>
    <col min="1" max="1" width="22.421875" style="16" bestFit="1" customWidth="1"/>
    <col min="2" max="2" width="13.421875" style="47" customWidth="1"/>
    <col min="3" max="3" width="11.140625" style="47" customWidth="1"/>
    <col min="4" max="4" width="12.28125" style="47" customWidth="1"/>
    <col min="5" max="5" width="10.28125" style="16" customWidth="1"/>
    <col min="6" max="7" width="5.00390625" style="47" customWidth="1"/>
    <col min="8" max="8" width="4.421875" style="47" customWidth="1"/>
    <col min="9" max="9" width="106.421875" style="47" customWidth="1"/>
    <col min="10" max="10" width="12.8515625" style="47" customWidth="1"/>
    <col min="11" max="12" width="8.28125" style="57" customWidth="1"/>
    <col min="13" max="14" width="8.28125" style="58" customWidth="1"/>
    <col min="15" max="16" width="10.7109375" style="57" customWidth="1"/>
    <col min="17" max="18" width="8.28125" style="58" customWidth="1"/>
    <col min="19" max="23" width="10.7109375" style="57" customWidth="1"/>
    <col min="24" max="24" width="57.421875" style="47" customWidth="1"/>
    <col min="25" max="25" width="36.8515625" style="47" customWidth="1"/>
    <col min="26" max="26" width="87.8515625" style="47" customWidth="1"/>
    <col min="27" max="16384" width="8.8515625" style="47" customWidth="1"/>
  </cols>
  <sheetData>
    <row r="1" spans="1:9" ht="21.75" customHeight="1">
      <c r="A1" s="486" t="s">
        <v>477</v>
      </c>
      <c r="B1" s="487"/>
      <c r="C1" s="488"/>
      <c r="E1" s="47"/>
      <c r="H1" s="1"/>
      <c r="I1" s="21"/>
    </row>
    <row r="2" spans="1:9" ht="21.75" customHeight="1">
      <c r="A2" s="547" t="s">
        <v>484</v>
      </c>
      <c r="B2" s="548"/>
      <c r="C2" s="141">
        <f>'MS4 Stats'!C8</f>
        <v>200</v>
      </c>
      <c r="E2" s="47"/>
      <c r="H2" s="1"/>
      <c r="I2" s="1"/>
    </row>
    <row r="3" spans="1:9" ht="21.75" customHeight="1">
      <c r="A3" s="547" t="s">
        <v>485</v>
      </c>
      <c r="B3" s="548"/>
      <c r="C3" s="235">
        <f>'MS4 Stats'!C9</f>
        <v>2000</v>
      </c>
      <c r="E3" s="47"/>
      <c r="H3" s="1"/>
      <c r="I3" s="1"/>
    </row>
    <row r="4" spans="1:9" ht="21.75" customHeight="1">
      <c r="A4" s="547" t="s">
        <v>486</v>
      </c>
      <c r="B4" s="548"/>
      <c r="C4" s="53"/>
      <c r="E4" s="47"/>
      <c r="H4" s="1"/>
      <c r="I4" s="1"/>
    </row>
    <row r="5" spans="1:9" ht="21.75" customHeight="1">
      <c r="A5" s="679" t="s">
        <v>487</v>
      </c>
      <c r="B5" s="680"/>
      <c r="C5" s="53">
        <f>'MS4 Stats'!C11</f>
        <v>400</v>
      </c>
      <c r="E5" s="47"/>
      <c r="H5" s="1"/>
      <c r="I5" s="1"/>
    </row>
    <row r="6" spans="1:9" ht="21.75" customHeight="1">
      <c r="A6" s="679" t="s">
        <v>488</v>
      </c>
      <c r="B6" s="680"/>
      <c r="C6" s="53">
        <f>'MS4 Stats'!C12</f>
        <v>600</v>
      </c>
      <c r="E6" s="47"/>
      <c r="H6" s="1"/>
      <c r="I6" s="1"/>
    </row>
    <row r="7" spans="1:9" ht="36.75" customHeight="1">
      <c r="A7" s="674" t="s">
        <v>489</v>
      </c>
      <c r="B7" s="675"/>
      <c r="C7" s="53">
        <f>'MS4 Stats'!C19</f>
        <v>20</v>
      </c>
      <c r="D7" s="1"/>
      <c r="E7" s="1"/>
      <c r="F7" s="1"/>
      <c r="G7" s="1"/>
      <c r="I7" s="1"/>
    </row>
    <row r="8" spans="1:9" ht="36.75" customHeight="1">
      <c r="A8" s="674" t="s">
        <v>490</v>
      </c>
      <c r="B8" s="675"/>
      <c r="C8" s="269">
        <f>'MS4 Stats'!C18</f>
        <v>0.1</v>
      </c>
      <c r="D8" s="1"/>
      <c r="E8" s="1"/>
      <c r="F8" s="1"/>
      <c r="G8" s="1"/>
      <c r="I8" s="1"/>
    </row>
    <row r="9" spans="1:9" ht="42.75" customHeight="1">
      <c r="A9" s="674" t="s">
        <v>522</v>
      </c>
      <c r="B9" s="675"/>
      <c r="C9" s="53">
        <f>'MS4 Stats'!C21</f>
        <v>50</v>
      </c>
      <c r="D9" s="1"/>
      <c r="E9" s="1"/>
      <c r="F9" s="1"/>
      <c r="G9" s="1"/>
      <c r="I9" s="1"/>
    </row>
    <row r="10" spans="1:9" ht="42.75" customHeight="1">
      <c r="A10" s="674" t="s">
        <v>523</v>
      </c>
      <c r="B10" s="675"/>
      <c r="C10" s="53">
        <f>'MS4 Stats'!C22</f>
        <v>150</v>
      </c>
      <c r="D10" s="1"/>
      <c r="E10" s="1"/>
      <c r="F10" s="1"/>
      <c r="G10" s="1"/>
      <c r="I10" s="1"/>
    </row>
    <row r="11" spans="1:9" ht="42.75" customHeight="1">
      <c r="A11" s="683" t="s">
        <v>538</v>
      </c>
      <c r="B11" s="684"/>
      <c r="C11" s="424">
        <v>3</v>
      </c>
      <c r="D11" s="1"/>
      <c r="E11" s="1"/>
      <c r="F11" s="1"/>
      <c r="G11" s="1"/>
      <c r="I11" s="1"/>
    </row>
    <row r="12" spans="1:9" ht="21.75" customHeight="1">
      <c r="A12" s="547" t="s">
        <v>346</v>
      </c>
      <c r="B12" s="548"/>
      <c r="C12" s="54">
        <f>'MS4 Stats'!C10</f>
        <v>100</v>
      </c>
      <c r="D12" s="1"/>
      <c r="E12" s="1"/>
      <c r="F12" s="1"/>
      <c r="G12" s="1"/>
      <c r="I12" s="1"/>
    </row>
    <row r="13" spans="1:9" ht="28.5" customHeight="1">
      <c r="A13" s="674" t="s">
        <v>301</v>
      </c>
      <c r="B13" s="675"/>
      <c r="C13" s="54">
        <f>'WQ Analysis Costs'!D8</f>
        <v>56.76466666666666</v>
      </c>
      <c r="D13" s="1"/>
      <c r="E13" s="1"/>
      <c r="F13" s="1"/>
      <c r="G13" s="1"/>
      <c r="I13" s="1"/>
    </row>
    <row r="14" spans="1:9" ht="42.75" customHeight="1">
      <c r="A14" s="681" t="s">
        <v>302</v>
      </c>
      <c r="B14" s="682"/>
      <c r="C14" s="236">
        <f>'WQ Analysis Costs'!B5</f>
        <v>469</v>
      </c>
      <c r="D14" s="1"/>
      <c r="E14" s="1"/>
      <c r="F14" s="1"/>
      <c r="G14" s="1"/>
      <c r="I14" s="1"/>
    </row>
    <row r="15" ht="13.5">
      <c r="I15" s="24"/>
    </row>
    <row r="16" spans="4:9" ht="21.75" customHeight="1">
      <c r="D16" s="3"/>
      <c r="H16" s="1"/>
      <c r="I16" s="1"/>
    </row>
    <row r="17" spans="1:9" ht="21.75" customHeight="1">
      <c r="A17" s="72"/>
      <c r="B17" s="487" t="s">
        <v>479</v>
      </c>
      <c r="C17" s="487"/>
      <c r="D17" s="487" t="s">
        <v>259</v>
      </c>
      <c r="E17" s="488"/>
      <c r="F17" s="1"/>
      <c r="G17" s="1"/>
      <c r="I17" s="1"/>
    </row>
    <row r="18" spans="1:9" ht="21.75" customHeight="1">
      <c r="A18" s="102"/>
      <c r="B18" s="103" t="s">
        <v>304</v>
      </c>
      <c r="C18" s="103" t="s">
        <v>305</v>
      </c>
      <c r="D18" s="103" t="s">
        <v>304</v>
      </c>
      <c r="E18" s="104" t="s">
        <v>305</v>
      </c>
      <c r="F18" s="1"/>
      <c r="G18" s="1"/>
      <c r="I18" s="1"/>
    </row>
    <row r="19" spans="1:9" ht="21.75" customHeight="1">
      <c r="A19" s="85" t="s">
        <v>63</v>
      </c>
      <c r="B19" s="86">
        <f>ROUND((((O31+O35+O43+O49+O52+O56+O60+O67+O74+O79+O80)*$C$12)+(Q31+Q35+Q43+Q49+Q56+Q60+Q67+Q74+Q79+Q7+Q80)),3-(INT(LOG((((O31+O35+O43+O49+O52+O56+O60+O67+O74+O79+O80)*$C$12)+(Q31+Q35+Q43+Q49+Q56+Q60+Q67+Q74+Q79+Q7+Q80)))+1)))</f>
        <v>4500</v>
      </c>
      <c r="C19" s="86">
        <f>ROUND((((P31+P35+P43+P49+P52+P56+P60+P67+P74+P79+P80)*$C$12)+(R31+R35+R43+R49+R56+R60+R67+R74+R79+R7+R80)),3-(INT(LOG((((P31+P35+P43+P49+P52+P56+P60+P67+P74+P79+P80)*$C$12)+(R31+R35+R43+R49+R56+R60+R67+R74+R79+R7+R80)))+1)))</f>
        <v>10500</v>
      </c>
      <c r="D19" s="232">
        <f>ROUND(((O31+O35+O43+O49+O52+O56+O60+O67+O74+O79+O80)),3-(INT(LOG(((O31+O35+O43+O49+O52+O56+O60+O67+O74+O79+O80)))+1)))</f>
        <v>44</v>
      </c>
      <c r="E19" s="232">
        <f>ROUND(((P31+P35+P43+P49+P52+P56+P60+P67+P74+P79+P80)),3-(INT(LOG(((P31+P35+P43+P49+P52+P56+P60+P67+P74+P79+P80)))+1)))</f>
        <v>100</v>
      </c>
      <c r="F19" s="426"/>
      <c r="G19" s="1"/>
      <c r="I19" s="1"/>
    </row>
    <row r="20" spans="1:9" ht="21.75" customHeight="1">
      <c r="A20" s="90" t="s">
        <v>480</v>
      </c>
      <c r="B20" s="323">
        <f>ROUND((T30+T34+T36+T38+T39+T40+T45+T47+T51+T52-(O52*C12)+T54+T55+T58+T59+T61+T62+T63+T64+T65+T66+T69+T72),3-(INT(LOG((T30+T34+T36+T38+T39+T40+T45+T47+T51+T52-(O52*C12)+T54+T55+T58+T59+T61+T62+T63+T64+T65+T66+T69+T72))+1)))</f>
        <v>74000</v>
      </c>
      <c r="C20" s="323">
        <f>ROUND((U30+U34+U36+U38+U39+U40+U45+U47+U51-(P52*C12)+U52+U54+U55+U58+U59+U61+U62+U63+U64+U65+U66+U69+U72-U61),3-(INT(LOG((U30+U34+U36+U38+U39+U40+U45+U47+U51-(P52*C12)+U52+U54+U55+U58+U59+U61+U62+U63+U64+U65+U66+U69+U72-U61))+1)))</f>
        <v>230000</v>
      </c>
      <c r="D20" s="286">
        <f>ROUND((V30+V34+V36+V38+V39+V40+V45+V47+V51+V52-(O52*5)+V54+V55+V58+V59+V61+V62+V63+V64+V65+V66+V69+V72),3-(INT(LOG((V30+V34+V36+V38+V39+V40+V45+V47+V51+V52-(O52*5)+V54+V55+V58+V59+V61+V62+V63+V64+V65+V66+V69+V72))+1)))</f>
        <v>586</v>
      </c>
      <c r="E20" s="286">
        <f>ROUND((W30+W34+W36+W38+W39+W40+W45+W47+W51+W52-(P52*5)+W54+W55+W58+W59+W61+W62+W63+W64+W65+W66+W69+W72-L61),3-(INT(LOG((W30+W34+W36+W38+W39+W40+W45+W47+W51+W52-(P52*5)+W54+W55+W58+W59+W61+W62+W63+W64+W65+W66+W69+W72-L61))+1)))</f>
        <v>2010</v>
      </c>
      <c r="F20" s="426"/>
      <c r="G20" s="1"/>
      <c r="I20" s="1"/>
    </row>
    <row r="21" spans="1:9" ht="21.75" customHeight="1">
      <c r="A21" s="94" t="s">
        <v>62</v>
      </c>
      <c r="B21" s="95">
        <f>T32+T42+T53+T70+T71+T75+T77</f>
        <v>0</v>
      </c>
      <c r="C21" s="95">
        <f>ROUND((U32+U42+U53+U70+U71+U75+U77),3-(INT(LOG((U32+U42+U53+U70+U71+U75+U77))+1)))</f>
        <v>87100</v>
      </c>
      <c r="D21" s="272">
        <f>V32+V42+V53+V70+V71+V75+V77</f>
        <v>0</v>
      </c>
      <c r="E21" s="272">
        <f>ROUND((W32+W42+W53+W70+W71+W75+W77),3-(INT(LOG((W32+W42+W53+W70+W71+W75+W77))+1)))</f>
        <v>820</v>
      </c>
      <c r="F21" s="1"/>
      <c r="G21" s="1"/>
      <c r="I21" s="1"/>
    </row>
    <row r="22" spans="1:9" ht="21.75" customHeight="1">
      <c r="A22" s="180" t="s">
        <v>481</v>
      </c>
      <c r="B22" s="181">
        <f>T81</f>
        <v>86900</v>
      </c>
      <c r="C22" s="181">
        <f>U81</f>
        <v>267000</v>
      </c>
      <c r="D22" s="287">
        <f>V81</f>
        <v>806</v>
      </c>
      <c r="E22" s="288">
        <f>W81</f>
        <v>2510</v>
      </c>
      <c r="F22" s="1"/>
      <c r="G22" s="1"/>
      <c r="I22" s="1"/>
    </row>
    <row r="23" spans="1:9" ht="21.75" customHeight="1">
      <c r="A23" s="184" t="s">
        <v>482</v>
      </c>
      <c r="B23" s="185"/>
      <c r="C23" s="186"/>
      <c r="D23" s="185"/>
      <c r="E23" s="187"/>
      <c r="F23" s="1"/>
      <c r="G23" s="1"/>
      <c r="I23" s="1"/>
    </row>
    <row r="24" spans="1:5" ht="13.5">
      <c r="A24" s="47"/>
      <c r="E24" s="47"/>
    </row>
    <row r="25" spans="1:5" ht="13.5">
      <c r="A25" s="47"/>
      <c r="E25" s="47"/>
    </row>
    <row r="26" spans="1:25" ht="36" customHeight="1">
      <c r="A26" s="676" t="s">
        <v>0</v>
      </c>
      <c r="B26" s="676" t="s">
        <v>29</v>
      </c>
      <c r="C26" s="633" t="s">
        <v>32</v>
      </c>
      <c r="D26" s="633" t="s">
        <v>110</v>
      </c>
      <c r="E26" s="633" t="s">
        <v>70</v>
      </c>
      <c r="F26" s="636" t="s">
        <v>3</v>
      </c>
      <c r="G26" s="636"/>
      <c r="H26" s="636"/>
      <c r="I26" s="636"/>
      <c r="J26" s="523" t="s">
        <v>1</v>
      </c>
      <c r="K26" s="524" t="s">
        <v>497</v>
      </c>
      <c r="L26" s="524"/>
      <c r="M26" s="524"/>
      <c r="N26" s="524"/>
      <c r="O26" s="591" t="s">
        <v>498</v>
      </c>
      <c r="P26" s="629"/>
      <c r="Q26" s="629"/>
      <c r="R26" s="629"/>
      <c r="S26" s="641" t="s">
        <v>264</v>
      </c>
      <c r="T26" s="591" t="s">
        <v>499</v>
      </c>
      <c r="U26" s="629"/>
      <c r="V26" s="629"/>
      <c r="W26" s="592"/>
      <c r="X26" s="589" t="s">
        <v>58</v>
      </c>
      <c r="Y26" s="569" t="s">
        <v>261</v>
      </c>
    </row>
    <row r="27" spans="1:25" s="311" customFormat="1" ht="36" customHeight="1">
      <c r="A27" s="677"/>
      <c r="B27" s="677"/>
      <c r="C27" s="634"/>
      <c r="D27" s="634"/>
      <c r="E27" s="634"/>
      <c r="F27" s="637"/>
      <c r="G27" s="637"/>
      <c r="H27" s="637"/>
      <c r="I27" s="637"/>
      <c r="J27" s="523"/>
      <c r="K27" s="530" t="s">
        <v>259</v>
      </c>
      <c r="L27" s="530"/>
      <c r="M27" s="531" t="s">
        <v>502</v>
      </c>
      <c r="N27" s="531"/>
      <c r="O27" s="532" t="s">
        <v>321</v>
      </c>
      <c r="P27" s="532"/>
      <c r="Q27" s="531" t="s">
        <v>303</v>
      </c>
      <c r="R27" s="531"/>
      <c r="S27" s="641"/>
      <c r="T27" s="529" t="s">
        <v>326</v>
      </c>
      <c r="U27" s="529"/>
      <c r="V27" s="529" t="s">
        <v>472</v>
      </c>
      <c r="W27" s="529"/>
      <c r="X27" s="589"/>
      <c r="Y27" s="569"/>
    </row>
    <row r="28" spans="1:25" s="311" customFormat="1" ht="36" customHeight="1">
      <c r="A28" s="678"/>
      <c r="B28" s="678"/>
      <c r="C28" s="635"/>
      <c r="D28" s="635"/>
      <c r="E28" s="635"/>
      <c r="F28" s="528"/>
      <c r="G28" s="528"/>
      <c r="H28" s="528"/>
      <c r="I28" s="528"/>
      <c r="J28" s="524"/>
      <c r="K28" s="303" t="s">
        <v>304</v>
      </c>
      <c r="L28" s="303" t="s">
        <v>305</v>
      </c>
      <c r="M28" s="312" t="s">
        <v>304</v>
      </c>
      <c r="N28" s="312" t="s">
        <v>305</v>
      </c>
      <c r="O28" s="299" t="s">
        <v>304</v>
      </c>
      <c r="P28" s="299" t="s">
        <v>305</v>
      </c>
      <c r="Q28" s="312" t="s">
        <v>304</v>
      </c>
      <c r="R28" s="312" t="s">
        <v>305</v>
      </c>
      <c r="S28" s="642"/>
      <c r="T28" s="303" t="s">
        <v>304</v>
      </c>
      <c r="U28" s="303" t="s">
        <v>305</v>
      </c>
      <c r="V28" s="303" t="s">
        <v>304</v>
      </c>
      <c r="W28" s="303" t="s">
        <v>305</v>
      </c>
      <c r="X28" s="591"/>
      <c r="Y28" s="629"/>
    </row>
    <row r="29" spans="1:25" s="216" customFormat="1" ht="36" customHeight="1">
      <c r="A29" s="190">
        <v>1</v>
      </c>
      <c r="B29" s="190"/>
      <c r="C29" s="190"/>
      <c r="D29" s="190"/>
      <c r="E29" s="190"/>
      <c r="F29" s="650" t="s">
        <v>69</v>
      </c>
      <c r="G29" s="651"/>
      <c r="H29" s="651"/>
      <c r="I29" s="652"/>
      <c r="J29" s="237" t="s">
        <v>64</v>
      </c>
      <c r="K29" s="237"/>
      <c r="L29" s="237"/>
      <c r="M29" s="238"/>
      <c r="N29" s="238"/>
      <c r="O29" s="237"/>
      <c r="P29" s="237"/>
      <c r="Q29" s="238"/>
      <c r="R29" s="238"/>
      <c r="S29" s="237"/>
      <c r="T29" s="237"/>
      <c r="U29" s="237"/>
      <c r="V29" s="237"/>
      <c r="W29" s="237"/>
      <c r="X29" s="239"/>
      <c r="Y29" s="239"/>
    </row>
    <row r="30" spans="1:31" s="204" customFormat="1" ht="42">
      <c r="A30" s="200">
        <v>1.1</v>
      </c>
      <c r="B30" s="200" t="s">
        <v>2</v>
      </c>
      <c r="C30" s="200" t="s">
        <v>65</v>
      </c>
      <c r="D30" s="201" t="s">
        <v>61</v>
      </c>
      <c r="E30" s="200"/>
      <c r="F30" s="647" t="s">
        <v>66</v>
      </c>
      <c r="G30" s="648"/>
      <c r="H30" s="648"/>
      <c r="I30" s="649"/>
      <c r="J30" s="213" t="s">
        <v>5</v>
      </c>
      <c r="K30" s="213">
        <v>0</v>
      </c>
      <c r="L30" s="213">
        <v>24</v>
      </c>
      <c r="M30" s="240">
        <v>0</v>
      </c>
      <c r="N30" s="240">
        <v>0</v>
      </c>
      <c r="O30" s="213">
        <v>0</v>
      </c>
      <c r="P30" s="213">
        <v>0</v>
      </c>
      <c r="Q30" s="240">
        <v>0</v>
      </c>
      <c r="R30" s="240">
        <v>0</v>
      </c>
      <c r="S30" s="213">
        <v>0</v>
      </c>
      <c r="T30" s="240">
        <f>K30*$C$12+M30+((O30*$C$12+Q30)*S30)</f>
        <v>0</v>
      </c>
      <c r="U30" s="240">
        <f>L30*$C$12+N30+((P30*$C$12+R30)*S30)</f>
        <v>2400</v>
      </c>
      <c r="V30" s="241">
        <f>K30+(O30*S30)</f>
        <v>0</v>
      </c>
      <c r="W30" s="241">
        <f>L30+(P30*S30)</f>
        <v>24</v>
      </c>
      <c r="X30" s="207" t="s">
        <v>306</v>
      </c>
      <c r="Y30" s="200" t="s">
        <v>469</v>
      </c>
      <c r="Z30" s="200"/>
      <c r="AA30" s="200"/>
      <c r="AB30" s="200"/>
      <c r="AC30" s="200"/>
      <c r="AD30" s="200"/>
      <c r="AE30" s="200"/>
    </row>
    <row r="31" spans="1:31" s="204" customFormat="1" ht="36" customHeight="1">
      <c r="A31" s="200">
        <f>A30+0.1</f>
        <v>1.2000000000000002</v>
      </c>
      <c r="B31" s="200" t="s">
        <v>2</v>
      </c>
      <c r="C31" s="200"/>
      <c r="D31" s="260" t="s">
        <v>63</v>
      </c>
      <c r="E31" s="200" t="s">
        <v>71</v>
      </c>
      <c r="F31" s="653" t="s">
        <v>67</v>
      </c>
      <c r="G31" s="654"/>
      <c r="H31" s="654"/>
      <c r="I31" s="655"/>
      <c r="J31" s="213" t="s">
        <v>5</v>
      </c>
      <c r="K31" s="213">
        <v>0</v>
      </c>
      <c r="L31" s="213">
        <v>0</v>
      </c>
      <c r="M31" s="213">
        <v>0</v>
      </c>
      <c r="N31" s="213">
        <v>0</v>
      </c>
      <c r="O31" s="213">
        <v>0</v>
      </c>
      <c r="P31" s="213">
        <v>0</v>
      </c>
      <c r="Q31" s="213">
        <v>0</v>
      </c>
      <c r="R31" s="213">
        <v>0</v>
      </c>
      <c r="S31" s="213">
        <v>0</v>
      </c>
      <c r="T31" s="240">
        <f>K31*$C$12+M31+((O31*$C$12+Q31)*S31)</f>
        <v>0</v>
      </c>
      <c r="U31" s="240">
        <f>L31*$C$12+N31+((P31*$C$12+R31)*S31)</f>
        <v>0</v>
      </c>
      <c r="V31" s="241">
        <f>K31+(O31*S31)</f>
        <v>0</v>
      </c>
      <c r="W31" s="241">
        <f>L31+(P31*S31)</f>
        <v>0</v>
      </c>
      <c r="X31" s="207" t="s">
        <v>327</v>
      </c>
      <c r="Y31" s="200" t="s">
        <v>469</v>
      </c>
      <c r="Z31" s="200"/>
      <c r="AA31" s="200"/>
      <c r="AB31" s="200"/>
      <c r="AC31" s="200"/>
      <c r="AD31" s="200"/>
      <c r="AE31" s="200"/>
    </row>
    <row r="32" spans="1:31" s="204" customFormat="1" ht="42">
      <c r="A32" s="200">
        <f>A31+0.1</f>
        <v>1.3000000000000003</v>
      </c>
      <c r="B32" s="200" t="s">
        <v>2</v>
      </c>
      <c r="C32" s="200"/>
      <c r="D32" s="211" t="s">
        <v>62</v>
      </c>
      <c r="E32" s="200" t="s">
        <v>71</v>
      </c>
      <c r="F32" s="644" t="s">
        <v>229</v>
      </c>
      <c r="G32" s="645"/>
      <c r="H32" s="645"/>
      <c r="I32" s="646"/>
      <c r="J32" s="213" t="s">
        <v>6</v>
      </c>
      <c r="K32" s="213">
        <v>0</v>
      </c>
      <c r="L32" s="213">
        <v>0</v>
      </c>
      <c r="M32" s="240">
        <v>0</v>
      </c>
      <c r="N32" s="240">
        <v>0</v>
      </c>
      <c r="O32" s="213">
        <v>0</v>
      </c>
      <c r="P32" s="213">
        <v>4</v>
      </c>
      <c r="Q32" s="240">
        <v>0</v>
      </c>
      <c r="R32" s="240">
        <v>0</v>
      </c>
      <c r="S32" s="213">
        <v>5</v>
      </c>
      <c r="T32" s="267">
        <f>K32*$C$12+M32+((O32*$C$12+Q32)*S32)</f>
        <v>0</v>
      </c>
      <c r="U32" s="267">
        <f>L32*$C$12+N32+((P32*$C$12+R32)*S32)</f>
        <v>2000</v>
      </c>
      <c r="V32" s="268">
        <f>K32+(O32*S32)</f>
        <v>0</v>
      </c>
      <c r="W32" s="268">
        <f>L32+(P32*S32)</f>
        <v>20</v>
      </c>
      <c r="X32" s="207" t="s">
        <v>307</v>
      </c>
      <c r="Y32" s="200" t="s">
        <v>469</v>
      </c>
      <c r="Z32" s="200"/>
      <c r="AA32" s="200"/>
      <c r="AB32" s="200"/>
      <c r="AC32" s="200"/>
      <c r="AD32" s="200"/>
      <c r="AE32" s="200"/>
    </row>
    <row r="33" spans="1:25" s="216" customFormat="1" ht="36" customHeight="1">
      <c r="A33" s="190">
        <v>2</v>
      </c>
      <c r="B33" s="190"/>
      <c r="C33" s="190"/>
      <c r="D33" s="190"/>
      <c r="E33" s="190"/>
      <c r="F33" s="650" t="s">
        <v>68</v>
      </c>
      <c r="G33" s="651"/>
      <c r="H33" s="651"/>
      <c r="I33" s="652"/>
      <c r="J33" s="726" t="s">
        <v>13</v>
      </c>
      <c r="K33" s="237"/>
      <c r="L33" s="237"/>
      <c r="M33" s="238"/>
      <c r="N33" s="238"/>
      <c r="O33" s="237"/>
      <c r="P33" s="237"/>
      <c r="Q33" s="238"/>
      <c r="R33" s="238"/>
      <c r="S33" s="237"/>
      <c r="T33" s="237"/>
      <c r="U33" s="237"/>
      <c r="V33" s="242"/>
      <c r="W33" s="242"/>
      <c r="X33" s="239"/>
      <c r="Y33" s="239"/>
    </row>
    <row r="34" spans="1:31" s="204" customFormat="1" ht="36" customHeight="1">
      <c r="A34" s="200">
        <f>A33+0.1</f>
        <v>2.1</v>
      </c>
      <c r="B34" s="200" t="s">
        <v>87</v>
      </c>
      <c r="C34" s="200" t="s">
        <v>59</v>
      </c>
      <c r="D34" s="201" t="s">
        <v>61</v>
      </c>
      <c r="E34" s="200"/>
      <c r="F34" s="647" t="s">
        <v>230</v>
      </c>
      <c r="G34" s="648"/>
      <c r="H34" s="648"/>
      <c r="I34" s="649"/>
      <c r="J34" s="12" t="s">
        <v>621</v>
      </c>
      <c r="K34" s="213">
        <v>0</v>
      </c>
      <c r="L34" s="213">
        <v>0</v>
      </c>
      <c r="M34" s="206">
        <v>0</v>
      </c>
      <c r="N34" s="206">
        <v>0</v>
      </c>
      <c r="O34" s="213">
        <v>0</v>
      </c>
      <c r="P34" s="213">
        <v>0</v>
      </c>
      <c r="Q34" s="206">
        <v>0</v>
      </c>
      <c r="R34" s="206">
        <v>0</v>
      </c>
      <c r="S34" s="213">
        <v>0</v>
      </c>
      <c r="T34" s="240">
        <f>K34*$C$12+M34+((O34*$C$12+Q34)*S34)</f>
        <v>0</v>
      </c>
      <c r="U34" s="240">
        <f>L34*$C$12+N34+((P34*$C$12+R34)*S34)</f>
        <v>0</v>
      </c>
      <c r="V34" s="241">
        <f>K34+(O34*S34)</f>
        <v>0</v>
      </c>
      <c r="W34" s="241">
        <f>L34+(P34*S34)</f>
        <v>0</v>
      </c>
      <c r="X34" s="209" t="s">
        <v>329</v>
      </c>
      <c r="Y34" s="200" t="s">
        <v>469</v>
      </c>
      <c r="Z34" s="200"/>
      <c r="AA34" s="200"/>
      <c r="AB34" s="200"/>
      <c r="AC34" s="200"/>
      <c r="AD34" s="200"/>
      <c r="AE34" s="200"/>
    </row>
    <row r="35" spans="1:31" s="204" customFormat="1" ht="36" customHeight="1">
      <c r="A35" s="200">
        <f>A34+0.1</f>
        <v>2.2</v>
      </c>
      <c r="B35" s="200" t="s">
        <v>2</v>
      </c>
      <c r="C35" s="200"/>
      <c r="D35" s="260" t="s">
        <v>63</v>
      </c>
      <c r="E35" s="200" t="s">
        <v>71</v>
      </c>
      <c r="F35" s="653" t="s">
        <v>72</v>
      </c>
      <c r="G35" s="654"/>
      <c r="H35" s="654"/>
      <c r="I35" s="655"/>
      <c r="J35" s="12" t="s">
        <v>14</v>
      </c>
      <c r="K35" s="213">
        <v>0</v>
      </c>
      <c r="L35" s="213">
        <v>0</v>
      </c>
      <c r="M35" s="240">
        <v>0</v>
      </c>
      <c r="N35" s="240">
        <v>0</v>
      </c>
      <c r="O35" s="213">
        <v>0</v>
      </c>
      <c r="P35" s="213">
        <v>16</v>
      </c>
      <c r="Q35" s="240">
        <v>0</v>
      </c>
      <c r="R35" s="240">
        <v>0</v>
      </c>
      <c r="S35" s="213">
        <v>5</v>
      </c>
      <c r="T35" s="240">
        <f>K35*$C$12+M35+((O35*$C$12+Q35)*S35)</f>
        <v>0</v>
      </c>
      <c r="U35" s="240">
        <f>L35*$C$12+N35+((P35*$C$12+R35)*S35)</f>
        <v>8000</v>
      </c>
      <c r="V35" s="241">
        <f>K35+(O35*S35)</f>
        <v>0</v>
      </c>
      <c r="W35" s="241">
        <f>L35+(P35*S35)</f>
        <v>80</v>
      </c>
      <c r="Y35" s="200" t="s">
        <v>469</v>
      </c>
      <c r="Z35" s="200"/>
      <c r="AA35" s="200"/>
      <c r="AB35" s="200"/>
      <c r="AC35" s="200"/>
      <c r="AD35" s="200"/>
      <c r="AE35" s="200"/>
    </row>
    <row r="36" spans="1:31" s="204" customFormat="1" ht="36" customHeight="1">
      <c r="A36" s="200">
        <f>A35+0.1</f>
        <v>2.3000000000000003</v>
      </c>
      <c r="B36" s="200" t="s">
        <v>144</v>
      </c>
      <c r="C36" s="200" t="s">
        <v>73</v>
      </c>
      <c r="D36" s="201" t="s">
        <v>61</v>
      </c>
      <c r="E36" s="200"/>
      <c r="F36" s="668" t="s">
        <v>75</v>
      </c>
      <c r="G36" s="669"/>
      <c r="H36" s="669"/>
      <c r="I36" s="670"/>
      <c r="J36" s="12" t="s">
        <v>14</v>
      </c>
      <c r="K36" s="213">
        <v>0</v>
      </c>
      <c r="L36" s="213">
        <v>0</v>
      </c>
      <c r="M36" s="213">
        <v>0</v>
      </c>
      <c r="N36" s="213">
        <v>0</v>
      </c>
      <c r="O36" s="213">
        <v>0</v>
      </c>
      <c r="P36" s="213">
        <v>0</v>
      </c>
      <c r="Q36" s="213">
        <v>0</v>
      </c>
      <c r="R36" s="213">
        <v>0</v>
      </c>
      <c r="S36" s="213">
        <v>0</v>
      </c>
      <c r="T36" s="240">
        <f>K36*$C$12+M36+((O36*$C$12+Q36)*S36)</f>
        <v>0</v>
      </c>
      <c r="U36" s="240">
        <f>L36*$C$12+N36+((P36*$C$12+R36)*S36)</f>
        <v>0</v>
      </c>
      <c r="V36" s="241">
        <f>K36+(O36*S36)</f>
        <v>0</v>
      </c>
      <c r="W36" s="241">
        <f>L36+(P36*S36)</f>
        <v>0</v>
      </c>
      <c r="X36" s="204" t="s">
        <v>308</v>
      </c>
      <c r="Y36" s="200" t="s">
        <v>469</v>
      </c>
      <c r="Z36" s="200"/>
      <c r="AA36" s="200"/>
      <c r="AB36" s="200"/>
      <c r="AC36" s="200"/>
      <c r="AD36" s="200"/>
      <c r="AE36" s="200"/>
    </row>
    <row r="37" spans="1:25" s="216" customFormat="1" ht="36" customHeight="1">
      <c r="A37" s="190">
        <v>3</v>
      </c>
      <c r="B37" s="190"/>
      <c r="C37" s="190"/>
      <c r="D37" s="190"/>
      <c r="E37" s="190"/>
      <c r="F37" s="650" t="s">
        <v>74</v>
      </c>
      <c r="G37" s="651"/>
      <c r="H37" s="651"/>
      <c r="I37" s="652"/>
      <c r="J37" s="237" t="s">
        <v>7</v>
      </c>
      <c r="K37" s="237"/>
      <c r="L37" s="237"/>
      <c r="M37" s="238"/>
      <c r="N37" s="238"/>
      <c r="O37" s="237"/>
      <c r="P37" s="237"/>
      <c r="Q37" s="238"/>
      <c r="R37" s="238"/>
      <c r="S37" s="237"/>
      <c r="T37" s="237"/>
      <c r="U37" s="237"/>
      <c r="V37" s="242"/>
      <c r="W37" s="242"/>
      <c r="X37" s="239"/>
      <c r="Y37" s="239"/>
    </row>
    <row r="38" spans="1:31" s="204" customFormat="1" ht="142.5" customHeight="1">
      <c r="A38" s="200">
        <v>3.1</v>
      </c>
      <c r="B38" s="200" t="s">
        <v>145</v>
      </c>
      <c r="C38" s="200" t="s">
        <v>77</v>
      </c>
      <c r="D38" s="203" t="s">
        <v>146</v>
      </c>
      <c r="E38" s="200"/>
      <c r="F38" s="647" t="s">
        <v>83</v>
      </c>
      <c r="G38" s="648"/>
      <c r="H38" s="648"/>
      <c r="I38" s="649"/>
      <c r="J38" s="213" t="s">
        <v>82</v>
      </c>
      <c r="K38" s="338">
        <v>130</v>
      </c>
      <c r="L38" s="338">
        <f>C3/25*8*2+(C3/25*2)</f>
        <v>1440</v>
      </c>
      <c r="M38" s="244">
        <v>0</v>
      </c>
      <c r="N38" s="244">
        <f>C3/25*50</f>
        <v>4000</v>
      </c>
      <c r="O38" s="338">
        <v>0</v>
      </c>
      <c r="P38" s="338">
        <v>0</v>
      </c>
      <c r="Q38" s="661">
        <v>0</v>
      </c>
      <c r="R38" s="661"/>
      <c r="S38" s="338">
        <v>0</v>
      </c>
      <c r="T38" s="244">
        <f>K38*$C$12+M38+((O38*$C$12+Q38)*S38)</f>
        <v>13000</v>
      </c>
      <c r="U38" s="240">
        <f aca="true" t="shared" si="0" ref="U38:U43">L38*$C$12+N38+((P38*$C$12+R38)*S38)</f>
        <v>148000</v>
      </c>
      <c r="V38" s="241">
        <f aca="true" t="shared" si="1" ref="V38:V43">K38+(O38*S38)</f>
        <v>130</v>
      </c>
      <c r="W38" s="241">
        <f aca="true" t="shared" si="2" ref="W38:W43">L38+(P38*S38)</f>
        <v>1440</v>
      </c>
      <c r="X38" s="207" t="s">
        <v>575</v>
      </c>
      <c r="Y38" s="209" t="s">
        <v>328</v>
      </c>
      <c r="Z38" s="361" t="s">
        <v>568</v>
      </c>
      <c r="AA38" s="396"/>
      <c r="AB38" s="200"/>
      <c r="AC38" s="200"/>
      <c r="AD38" s="200"/>
      <c r="AE38" s="200"/>
    </row>
    <row r="39" spans="1:32" s="204" customFormat="1" ht="36" customHeight="1">
      <c r="A39" s="200">
        <f>A38+0.1</f>
        <v>3.2</v>
      </c>
      <c r="B39" s="200" t="s">
        <v>145</v>
      </c>
      <c r="C39" s="200" t="s">
        <v>77</v>
      </c>
      <c r="D39" s="201" t="s">
        <v>61</v>
      </c>
      <c r="F39" s="668" t="s">
        <v>76</v>
      </c>
      <c r="G39" s="669"/>
      <c r="H39" s="669"/>
      <c r="I39" s="670"/>
      <c r="J39" s="213" t="s">
        <v>8</v>
      </c>
      <c r="K39" s="213">
        <f>C2/20*8</f>
        <v>80</v>
      </c>
      <c r="L39" s="213">
        <v>80</v>
      </c>
      <c r="M39" s="206">
        <v>0</v>
      </c>
      <c r="N39" s="206">
        <v>0</v>
      </c>
      <c r="O39" s="213">
        <v>0</v>
      </c>
      <c r="P39" s="213">
        <v>0</v>
      </c>
      <c r="Q39" s="206">
        <v>0</v>
      </c>
      <c r="R39" s="206">
        <v>0</v>
      </c>
      <c r="S39" s="213">
        <v>0</v>
      </c>
      <c r="T39" s="240">
        <f>K39*$C$12+M39+(((O39*$C$12)+Q39)*S39)</f>
        <v>8000</v>
      </c>
      <c r="U39" s="240">
        <f t="shared" si="0"/>
        <v>8000</v>
      </c>
      <c r="V39" s="241">
        <f t="shared" si="1"/>
        <v>80</v>
      </c>
      <c r="W39" s="241">
        <f t="shared" si="2"/>
        <v>80</v>
      </c>
      <c r="X39" s="207" t="s">
        <v>309</v>
      </c>
      <c r="Y39" s="204" t="s">
        <v>298</v>
      </c>
      <c r="Z39" s="443" t="s">
        <v>569</v>
      </c>
      <c r="AA39" s="200"/>
      <c r="AB39" s="200"/>
      <c r="AC39" s="200"/>
      <c r="AD39" s="200"/>
      <c r="AE39" s="200"/>
      <c r="AF39" s="200"/>
    </row>
    <row r="40" spans="1:32" s="204" customFormat="1" ht="36" customHeight="1">
      <c r="A40" s="200">
        <f>A39+0.1</f>
        <v>3.3000000000000003</v>
      </c>
      <c r="B40" s="200" t="s">
        <v>145</v>
      </c>
      <c r="C40" s="200" t="s">
        <v>77</v>
      </c>
      <c r="D40" s="203" t="s">
        <v>146</v>
      </c>
      <c r="F40" s="647" t="s">
        <v>78</v>
      </c>
      <c r="G40" s="648"/>
      <c r="H40" s="648"/>
      <c r="I40" s="649"/>
      <c r="J40" s="213" t="s">
        <v>9</v>
      </c>
      <c r="K40" s="213">
        <v>0</v>
      </c>
      <c r="L40" s="213">
        <v>20</v>
      </c>
      <c r="M40" s="206">
        <v>0</v>
      </c>
      <c r="N40" s="206">
        <v>0</v>
      </c>
      <c r="O40" s="213">
        <v>0</v>
      </c>
      <c r="P40" s="213">
        <v>0</v>
      </c>
      <c r="Q40" s="206">
        <v>0</v>
      </c>
      <c r="R40" s="206">
        <v>0</v>
      </c>
      <c r="S40" s="213">
        <v>0</v>
      </c>
      <c r="T40" s="240">
        <f>K40*$C$12+M40+((O40*$C$12+Q40)*S40)</f>
        <v>0</v>
      </c>
      <c r="U40" s="240">
        <f t="shared" si="0"/>
        <v>2000</v>
      </c>
      <c r="V40" s="241">
        <f t="shared" si="1"/>
        <v>0</v>
      </c>
      <c r="W40" s="241">
        <f t="shared" si="2"/>
        <v>20</v>
      </c>
      <c r="X40" s="207" t="s">
        <v>310</v>
      </c>
      <c r="Y40" s="200" t="s">
        <v>469</v>
      </c>
      <c r="Z40" s="200"/>
      <c r="AA40" s="200"/>
      <c r="AB40" s="200"/>
      <c r="AC40" s="200"/>
      <c r="AD40" s="200"/>
      <c r="AE40" s="200"/>
      <c r="AF40" s="200"/>
    </row>
    <row r="41" spans="1:32" s="204" customFormat="1" ht="36" customHeight="1">
      <c r="A41" s="200">
        <f>A40+0.1</f>
        <v>3.4000000000000004</v>
      </c>
      <c r="B41" s="200" t="s">
        <v>145</v>
      </c>
      <c r="C41" s="209" t="s">
        <v>79</v>
      </c>
      <c r="D41" s="209" t="s">
        <v>79</v>
      </c>
      <c r="F41" s="200"/>
      <c r="G41" s="662" t="s">
        <v>80</v>
      </c>
      <c r="H41" s="662"/>
      <c r="I41" s="662"/>
      <c r="J41" s="213" t="s">
        <v>10</v>
      </c>
      <c r="K41" s="213">
        <v>0</v>
      </c>
      <c r="L41" s="213">
        <v>0</v>
      </c>
      <c r="M41" s="206">
        <v>0</v>
      </c>
      <c r="N41" s="206">
        <v>0</v>
      </c>
      <c r="O41" s="213">
        <v>0</v>
      </c>
      <c r="P41" s="213">
        <v>0</v>
      </c>
      <c r="Q41" s="206">
        <v>0</v>
      </c>
      <c r="R41" s="206">
        <v>0</v>
      </c>
      <c r="S41" s="213">
        <v>0</v>
      </c>
      <c r="T41" s="240">
        <f>K41*$C$12+M41+((O41*$C$12+Q41)*S41)</f>
        <v>0</v>
      </c>
      <c r="U41" s="240">
        <f t="shared" si="0"/>
        <v>0</v>
      </c>
      <c r="V41" s="241">
        <f t="shared" si="1"/>
        <v>0</v>
      </c>
      <c r="W41" s="241">
        <f t="shared" si="2"/>
        <v>0</v>
      </c>
      <c r="X41" s="204" t="s">
        <v>81</v>
      </c>
      <c r="Y41" s="200" t="s">
        <v>469</v>
      </c>
      <c r="AA41" s="200"/>
      <c r="AB41" s="200"/>
      <c r="AC41" s="200"/>
      <c r="AD41" s="200"/>
      <c r="AE41" s="200"/>
      <c r="AF41" s="200"/>
    </row>
    <row r="42" spans="1:32" s="204" customFormat="1" ht="44.25" customHeight="1">
      <c r="A42" s="200">
        <f>A41+0.1</f>
        <v>3.5000000000000004</v>
      </c>
      <c r="B42" s="200" t="s">
        <v>145</v>
      </c>
      <c r="C42" s="209"/>
      <c r="D42" s="261" t="s">
        <v>62</v>
      </c>
      <c r="F42" s="644" t="s">
        <v>86</v>
      </c>
      <c r="G42" s="645"/>
      <c r="H42" s="645"/>
      <c r="I42" s="646"/>
      <c r="J42" s="213" t="s">
        <v>11</v>
      </c>
      <c r="K42" s="213">
        <v>0</v>
      </c>
      <c r="L42" s="213">
        <v>0</v>
      </c>
      <c r="M42" s="206">
        <v>0</v>
      </c>
      <c r="N42" s="206">
        <v>0</v>
      </c>
      <c r="O42" s="204">
        <v>0</v>
      </c>
      <c r="P42" s="204">
        <v>40</v>
      </c>
      <c r="Q42" s="206">
        <v>0</v>
      </c>
      <c r="R42" s="206">
        <v>0</v>
      </c>
      <c r="S42" s="204">
        <v>5</v>
      </c>
      <c r="T42" s="267">
        <f>K42*$C$12+M42+((O42*$C$12+Q42)*S42)</f>
        <v>0</v>
      </c>
      <c r="U42" s="267">
        <f t="shared" si="0"/>
        <v>20000</v>
      </c>
      <c r="V42" s="268">
        <f t="shared" si="1"/>
        <v>0</v>
      </c>
      <c r="W42" s="268">
        <f t="shared" si="2"/>
        <v>200</v>
      </c>
      <c r="X42" s="207" t="s">
        <v>534</v>
      </c>
      <c r="Y42" s="361" t="s">
        <v>533</v>
      </c>
      <c r="Z42" s="345" t="s">
        <v>570</v>
      </c>
      <c r="AA42" s="200"/>
      <c r="AB42" s="200"/>
      <c r="AC42" s="200"/>
      <c r="AD42" s="200"/>
      <c r="AE42" s="200"/>
      <c r="AF42" s="200"/>
    </row>
    <row r="43" spans="1:25" s="213" customFormat="1" ht="36" customHeight="1">
      <c r="A43" s="200">
        <f>A42+0.1</f>
        <v>3.6000000000000005</v>
      </c>
      <c r="B43" s="243" t="s">
        <v>2</v>
      </c>
      <c r="C43" s="243"/>
      <c r="D43" s="230" t="s">
        <v>63</v>
      </c>
      <c r="E43" s="213" t="s">
        <v>71</v>
      </c>
      <c r="F43" s="653" t="s">
        <v>84</v>
      </c>
      <c r="G43" s="654"/>
      <c r="H43" s="654"/>
      <c r="I43" s="655"/>
      <c r="J43" s="213" t="s">
        <v>12</v>
      </c>
      <c r="K43" s="213">
        <v>0</v>
      </c>
      <c r="L43" s="213">
        <v>0</v>
      </c>
      <c r="M43" s="213">
        <v>0</v>
      </c>
      <c r="N43" s="213">
        <v>0</v>
      </c>
      <c r="O43" s="213">
        <v>0</v>
      </c>
      <c r="P43" s="213">
        <v>0</v>
      </c>
      <c r="Q43" s="213">
        <v>0</v>
      </c>
      <c r="R43" s="213">
        <v>0</v>
      </c>
      <c r="S43" s="213">
        <v>0</v>
      </c>
      <c r="T43" s="240">
        <f>K43*$C$12+M43+((O43*$C$12+Q43)*S43)</f>
        <v>0</v>
      </c>
      <c r="U43" s="240">
        <f t="shared" si="0"/>
        <v>0</v>
      </c>
      <c r="V43" s="241">
        <f t="shared" si="1"/>
        <v>0</v>
      </c>
      <c r="W43" s="241">
        <f t="shared" si="2"/>
        <v>0</v>
      </c>
      <c r="X43" s="207" t="s">
        <v>293</v>
      </c>
      <c r="Y43" s="200" t="s">
        <v>469</v>
      </c>
    </row>
    <row r="44" spans="1:25" s="216" customFormat="1" ht="36" customHeight="1">
      <c r="A44" s="190">
        <v>4</v>
      </c>
      <c r="B44" s="190"/>
      <c r="C44" s="190"/>
      <c r="D44" s="190"/>
      <c r="E44" s="190"/>
      <c r="F44" s="650" t="s">
        <v>85</v>
      </c>
      <c r="G44" s="651"/>
      <c r="H44" s="651"/>
      <c r="I44" s="652"/>
      <c r="J44" s="726" t="s">
        <v>622</v>
      </c>
      <c r="K44" s="237"/>
      <c r="L44" s="237"/>
      <c r="M44" s="238"/>
      <c r="N44" s="238"/>
      <c r="O44" s="237"/>
      <c r="P44" s="237"/>
      <c r="Q44" s="238"/>
      <c r="R44" s="238"/>
      <c r="S44" s="237"/>
      <c r="T44" s="237"/>
      <c r="U44" s="237"/>
      <c r="V44" s="242"/>
      <c r="W44" s="242"/>
      <c r="X44" s="239"/>
      <c r="Y44" s="239"/>
    </row>
    <row r="45" spans="1:32" s="204" customFormat="1" ht="36" customHeight="1">
      <c r="A45" s="200">
        <v>4.1</v>
      </c>
      <c r="B45" s="200" t="s">
        <v>2</v>
      </c>
      <c r="C45" s="209" t="s">
        <v>88</v>
      </c>
      <c r="D45" s="203" t="s">
        <v>61</v>
      </c>
      <c r="F45" s="668" t="s">
        <v>89</v>
      </c>
      <c r="G45" s="669"/>
      <c r="H45" s="669"/>
      <c r="I45" s="670"/>
      <c r="J45" s="12" t="s">
        <v>623</v>
      </c>
      <c r="K45" s="213">
        <v>0</v>
      </c>
      <c r="L45" s="213">
        <v>0</v>
      </c>
      <c r="M45" s="244">
        <v>0</v>
      </c>
      <c r="N45" s="244">
        <v>0</v>
      </c>
      <c r="O45" s="243">
        <v>0</v>
      </c>
      <c r="P45" s="243">
        <v>0</v>
      </c>
      <c r="Q45" s="244">
        <v>0</v>
      </c>
      <c r="R45" s="244">
        <v>0</v>
      </c>
      <c r="S45" s="243">
        <v>0</v>
      </c>
      <c r="T45" s="240">
        <f>K45*$C$12+M45+((O45*$C$12+Q45)*S45)</f>
        <v>0</v>
      </c>
      <c r="U45" s="240">
        <f>L45*$C$12+N45+((P45*$C$12+R45)*S45)</f>
        <v>0</v>
      </c>
      <c r="V45" s="241">
        <f>K45+(O45*S45)</f>
        <v>0</v>
      </c>
      <c r="W45" s="241">
        <f>L45+(P45*S45)</f>
        <v>0</v>
      </c>
      <c r="X45" s="207" t="s">
        <v>270</v>
      </c>
      <c r="Y45" s="207" t="s">
        <v>322</v>
      </c>
      <c r="AA45" s="200"/>
      <c r="AB45" s="200"/>
      <c r="AC45" s="200"/>
      <c r="AD45" s="200"/>
      <c r="AE45" s="200"/>
      <c r="AF45" s="200"/>
    </row>
    <row r="46" spans="1:32" s="204" customFormat="1" ht="36" customHeight="1">
      <c r="A46" s="245">
        <v>4.2</v>
      </c>
      <c r="B46" s="245"/>
      <c r="C46" s="246"/>
      <c r="D46" s="246"/>
      <c r="E46" s="245"/>
      <c r="F46" s="245"/>
      <c r="G46" s="245" t="s">
        <v>101</v>
      </c>
      <c r="H46" s="245"/>
      <c r="I46" s="245"/>
      <c r="J46" s="727" t="s">
        <v>624</v>
      </c>
      <c r="K46" s="247"/>
      <c r="L46" s="247"/>
      <c r="M46" s="248"/>
      <c r="N46" s="248"/>
      <c r="O46" s="247"/>
      <c r="P46" s="247"/>
      <c r="Q46" s="248"/>
      <c r="R46" s="248"/>
      <c r="S46" s="247"/>
      <c r="T46" s="247"/>
      <c r="U46" s="247"/>
      <c r="V46" s="249"/>
      <c r="W46" s="249"/>
      <c r="X46" s="250"/>
      <c r="Y46" s="250"/>
      <c r="AA46" s="200"/>
      <c r="AB46" s="200"/>
      <c r="AC46" s="200"/>
      <c r="AD46" s="200"/>
      <c r="AE46" s="200"/>
      <c r="AF46" s="200"/>
    </row>
    <row r="47" spans="1:25" s="204" customFormat="1" ht="36" customHeight="1">
      <c r="A47" s="200" t="s">
        <v>121</v>
      </c>
      <c r="B47" s="200" t="s">
        <v>145</v>
      </c>
      <c r="C47" s="209" t="s">
        <v>107</v>
      </c>
      <c r="D47" s="201" t="s">
        <v>61</v>
      </c>
      <c r="F47" s="668" t="s">
        <v>90</v>
      </c>
      <c r="G47" s="669"/>
      <c r="H47" s="669"/>
      <c r="I47" s="670"/>
      <c r="J47" s="12" t="s">
        <v>625</v>
      </c>
      <c r="K47" s="656">
        <v>24</v>
      </c>
      <c r="L47" s="656">
        <v>40</v>
      </c>
      <c r="M47" s="643">
        <v>0</v>
      </c>
      <c r="N47" s="643">
        <v>0</v>
      </c>
      <c r="O47" s="657">
        <v>0</v>
      </c>
      <c r="P47" s="657">
        <v>0</v>
      </c>
      <c r="Q47" s="643">
        <v>0</v>
      </c>
      <c r="R47" s="643">
        <v>0</v>
      </c>
      <c r="S47" s="657">
        <v>0</v>
      </c>
      <c r="T47" s="643">
        <f>K47*$C$12+M47+((O47*$C$12+Q47)*S47)</f>
        <v>2400</v>
      </c>
      <c r="U47" s="643">
        <f>L47*$C$12+N47+((P47*$C$12+R47)*S47)</f>
        <v>4000</v>
      </c>
      <c r="V47" s="630">
        <f>K47+(O47*S47)</f>
        <v>24</v>
      </c>
      <c r="W47" s="630">
        <f>L47+(P47*S47)</f>
        <v>40</v>
      </c>
      <c r="X47" s="631" t="s">
        <v>564</v>
      </c>
      <c r="Y47" s="691" t="s">
        <v>469</v>
      </c>
    </row>
    <row r="48" spans="1:26" s="204" customFormat="1" ht="42">
      <c r="A48" s="200" t="s">
        <v>122</v>
      </c>
      <c r="B48" s="200" t="s">
        <v>145</v>
      </c>
      <c r="C48" s="209" t="s">
        <v>107</v>
      </c>
      <c r="D48" s="201" t="s">
        <v>61</v>
      </c>
      <c r="F48" s="647" t="s">
        <v>91</v>
      </c>
      <c r="G48" s="648"/>
      <c r="H48" s="648"/>
      <c r="I48" s="649"/>
      <c r="J48" s="12" t="s">
        <v>626</v>
      </c>
      <c r="K48" s="656"/>
      <c r="L48" s="656"/>
      <c r="M48" s="643"/>
      <c r="N48" s="643"/>
      <c r="O48" s="657"/>
      <c r="P48" s="657"/>
      <c r="Q48" s="643"/>
      <c r="R48" s="643"/>
      <c r="S48" s="657"/>
      <c r="T48" s="643"/>
      <c r="U48" s="643"/>
      <c r="V48" s="630"/>
      <c r="W48" s="630"/>
      <c r="X48" s="632"/>
      <c r="Y48" s="692"/>
      <c r="Z48" s="345" t="s">
        <v>563</v>
      </c>
    </row>
    <row r="49" spans="1:26" s="204" customFormat="1" ht="42">
      <c r="A49" s="251" t="s">
        <v>123</v>
      </c>
      <c r="B49" s="251" t="s">
        <v>145</v>
      </c>
      <c r="C49" s="251"/>
      <c r="D49" s="262" t="s">
        <v>63</v>
      </c>
      <c r="E49" s="204" t="s">
        <v>71</v>
      </c>
      <c r="F49" s="688" t="s">
        <v>208</v>
      </c>
      <c r="G49" s="689"/>
      <c r="H49" s="689"/>
      <c r="I49" s="690"/>
      <c r="J49" s="12" t="s">
        <v>18</v>
      </c>
      <c r="K49" s="213">
        <v>0</v>
      </c>
      <c r="L49" s="213">
        <v>0</v>
      </c>
      <c r="M49" s="206">
        <v>0</v>
      </c>
      <c r="N49" s="206">
        <v>0</v>
      </c>
      <c r="O49" s="204">
        <v>0</v>
      </c>
      <c r="P49" s="204">
        <v>24</v>
      </c>
      <c r="Q49" s="206">
        <v>0</v>
      </c>
      <c r="R49" s="206">
        <v>0</v>
      </c>
      <c r="S49" s="204">
        <v>5</v>
      </c>
      <c r="T49" s="240">
        <f>K49*$C$12+M49+((O49*$C$12+Q49)*S49)</f>
        <v>0</v>
      </c>
      <c r="U49" s="240">
        <f>L49*$C$12+N49+((P49*$C$12+R49)*S49)</f>
        <v>12000</v>
      </c>
      <c r="V49" s="241">
        <f>K49+(O49*S49)</f>
        <v>0</v>
      </c>
      <c r="W49" s="241">
        <f>L49+(P49*S49)</f>
        <v>120</v>
      </c>
      <c r="X49" s="207" t="s">
        <v>571</v>
      </c>
      <c r="Y49" s="266" t="s">
        <v>469</v>
      </c>
      <c r="Z49" s="345" t="s">
        <v>572</v>
      </c>
    </row>
    <row r="50" spans="1:25" s="204" customFormat="1" ht="36" customHeight="1">
      <c r="A50" s="252">
        <v>4.3</v>
      </c>
      <c r="B50" s="252"/>
      <c r="C50" s="252"/>
      <c r="D50" s="252"/>
      <c r="E50" s="245"/>
      <c r="F50" s="245"/>
      <c r="G50" s="252" t="s">
        <v>92</v>
      </c>
      <c r="H50" s="246"/>
      <c r="I50" s="246"/>
      <c r="J50" s="727" t="s">
        <v>627</v>
      </c>
      <c r="K50" s="247"/>
      <c r="L50" s="247"/>
      <c r="M50" s="248"/>
      <c r="N50" s="248"/>
      <c r="O50" s="247"/>
      <c r="P50" s="247"/>
      <c r="Q50" s="248"/>
      <c r="R50" s="248"/>
      <c r="S50" s="247"/>
      <c r="T50" s="247"/>
      <c r="U50" s="247"/>
      <c r="V50" s="249"/>
      <c r="W50" s="249"/>
      <c r="X50" s="250"/>
      <c r="Y50" s="250"/>
    </row>
    <row r="51" spans="1:26" s="204" customFormat="1" ht="93.75" customHeight="1">
      <c r="A51" s="200" t="s">
        <v>125</v>
      </c>
      <c r="B51" s="200" t="s">
        <v>145</v>
      </c>
      <c r="C51" s="200" t="s">
        <v>59</v>
      </c>
      <c r="D51" s="201" t="s">
        <v>61</v>
      </c>
      <c r="F51" s="604" t="s">
        <v>93</v>
      </c>
      <c r="G51" s="666"/>
      <c r="H51" s="666"/>
      <c r="I51" s="605"/>
      <c r="J51" s="12" t="s">
        <v>628</v>
      </c>
      <c r="K51" s="213">
        <v>0</v>
      </c>
      <c r="L51" s="213">
        <v>0</v>
      </c>
      <c r="M51" s="206">
        <v>0</v>
      </c>
      <c r="N51" s="206">
        <v>0</v>
      </c>
      <c r="O51" s="213">
        <v>0</v>
      </c>
      <c r="P51" s="213">
        <v>0</v>
      </c>
      <c r="Q51" s="206">
        <v>0</v>
      </c>
      <c r="R51" s="206">
        <v>0</v>
      </c>
      <c r="S51" s="213">
        <v>0</v>
      </c>
      <c r="T51" s="240">
        <f>K51*$C$12+M51+(((O51*$C$12)+Q51)*S51)</f>
        <v>0</v>
      </c>
      <c r="U51" s="240">
        <f aca="true" t="shared" si="3" ref="U51:U56">L51*$C$12+N51+((P51*$C$12+R51)*S51)</f>
        <v>0</v>
      </c>
      <c r="V51" s="241">
        <f aca="true" t="shared" si="4" ref="V51:V56">K51+(O51*S51)</f>
        <v>0</v>
      </c>
      <c r="W51" s="241">
        <f aca="true" t="shared" si="5" ref="W51:W56">L51+(P51*S51)</f>
        <v>0</v>
      </c>
      <c r="X51" s="207" t="s">
        <v>541</v>
      </c>
      <c r="Z51" s="345"/>
    </row>
    <row r="52" spans="1:26" s="406" customFormat="1" ht="201" customHeight="1">
      <c r="A52" s="337" t="s">
        <v>126</v>
      </c>
      <c r="B52" s="337" t="s">
        <v>145</v>
      </c>
      <c r="C52" s="337" t="s">
        <v>103</v>
      </c>
      <c r="D52" s="210" t="s">
        <v>149</v>
      </c>
      <c r="F52" s="604" t="s">
        <v>112</v>
      </c>
      <c r="G52" s="666"/>
      <c r="H52" s="666"/>
      <c r="I52" s="605"/>
      <c r="J52" s="12" t="s">
        <v>629</v>
      </c>
      <c r="K52" s="410">
        <f>C2/16*8*2</f>
        <v>200</v>
      </c>
      <c r="L52" s="410">
        <f>K52</f>
        <v>200</v>
      </c>
      <c r="M52" s="407">
        <f>C14+C7*C13</f>
        <v>1604.2933333333333</v>
      </c>
      <c r="N52" s="407">
        <f>C14+C7*C13</f>
        <v>1604.2933333333333</v>
      </c>
      <c r="O52" s="346">
        <v>24</v>
      </c>
      <c r="P52" s="346">
        <v>40</v>
      </c>
      <c r="Q52" s="402">
        <v>0</v>
      </c>
      <c r="R52" s="402">
        <v>0</v>
      </c>
      <c r="S52" s="408">
        <v>5</v>
      </c>
      <c r="T52" s="407">
        <f>K52*$C$12+M52+(((O52*$C$12)+Q52)*S52)</f>
        <v>33604.293333333335</v>
      </c>
      <c r="U52" s="407">
        <f t="shared" si="3"/>
        <v>41604.293333333335</v>
      </c>
      <c r="V52" s="409">
        <f>K52+(O52*S52)</f>
        <v>320</v>
      </c>
      <c r="W52" s="409">
        <f t="shared" si="5"/>
        <v>400</v>
      </c>
      <c r="X52" s="345" t="s">
        <v>574</v>
      </c>
      <c r="Y52" s="361" t="s">
        <v>320</v>
      </c>
      <c r="Z52" s="345" t="s">
        <v>573</v>
      </c>
    </row>
    <row r="53" spans="1:26" s="204" customFormat="1" ht="56.25" customHeight="1">
      <c r="A53" s="200" t="s">
        <v>330</v>
      </c>
      <c r="B53" s="200"/>
      <c r="C53" s="200"/>
      <c r="D53" s="212" t="s">
        <v>62</v>
      </c>
      <c r="F53" s="658" t="s">
        <v>172</v>
      </c>
      <c r="G53" s="659"/>
      <c r="H53" s="659"/>
      <c r="I53" s="660"/>
      <c r="J53" s="12" t="s">
        <v>630</v>
      </c>
      <c r="K53" s="213">
        <v>0</v>
      </c>
      <c r="L53" s="213">
        <v>0</v>
      </c>
      <c r="M53" s="240">
        <v>0</v>
      </c>
      <c r="N53" s="240">
        <v>0</v>
      </c>
      <c r="O53" s="213">
        <v>0</v>
      </c>
      <c r="P53" s="213">
        <f>8*2*C11</f>
        <v>48</v>
      </c>
      <c r="Q53" s="289">
        <v>0</v>
      </c>
      <c r="R53" s="402">
        <f>5*C13*C11</f>
        <v>851.47</v>
      </c>
      <c r="S53" s="213">
        <v>5</v>
      </c>
      <c r="T53" s="267">
        <f>K53*$C$12+M53+((O53*$C$12+Q53)*S53)</f>
        <v>0</v>
      </c>
      <c r="U53" s="267">
        <f>L53*$C$12+N53+((P53*$C$12+R53)*S53)</f>
        <v>28257.350000000002</v>
      </c>
      <c r="V53" s="268">
        <f t="shared" si="4"/>
        <v>0</v>
      </c>
      <c r="W53" s="268">
        <f t="shared" si="5"/>
        <v>240</v>
      </c>
      <c r="X53" s="229" t="s">
        <v>331</v>
      </c>
      <c r="Y53" s="208" t="s">
        <v>469</v>
      </c>
      <c r="Z53" s="204" t="s">
        <v>537</v>
      </c>
    </row>
    <row r="54" spans="1:26" s="204" customFormat="1" ht="102.75" customHeight="1">
      <c r="A54" s="200" t="s">
        <v>127</v>
      </c>
      <c r="B54" s="200" t="s">
        <v>145</v>
      </c>
      <c r="C54" s="200" t="s">
        <v>114</v>
      </c>
      <c r="D54" s="210" t="s">
        <v>115</v>
      </c>
      <c r="F54" s="606" t="s">
        <v>96</v>
      </c>
      <c r="G54" s="667"/>
      <c r="H54" s="667"/>
      <c r="I54" s="607"/>
      <c r="J54" s="12" t="s">
        <v>631</v>
      </c>
      <c r="K54" s="213">
        <f>C9/5*8/10*5</f>
        <v>40</v>
      </c>
      <c r="L54" s="213">
        <f>C10/5*8/10*5</f>
        <v>120</v>
      </c>
      <c r="M54" s="400">
        <f>C9*C13/10*5</f>
        <v>1419.1166666666666</v>
      </c>
      <c r="N54" s="400">
        <f>C10*C13/10*5</f>
        <v>4257.349999999999</v>
      </c>
      <c r="O54" s="253">
        <v>0</v>
      </c>
      <c r="P54" s="241">
        <v>0</v>
      </c>
      <c r="Q54" s="289">
        <v>0</v>
      </c>
      <c r="R54" s="289">
        <v>0</v>
      </c>
      <c r="S54" s="254">
        <v>0</v>
      </c>
      <c r="T54" s="240">
        <f>(K54*$C$12+M54+((O54*$C$12+Q54)*S54))</f>
        <v>5419.116666666667</v>
      </c>
      <c r="U54" s="240">
        <f>(L54*$C$12+N54+((P54*$C$12+R54)*S54))</f>
        <v>16257.349999999999</v>
      </c>
      <c r="V54" s="241">
        <f t="shared" si="4"/>
        <v>40</v>
      </c>
      <c r="W54" s="241">
        <f t="shared" si="5"/>
        <v>120</v>
      </c>
      <c r="X54" s="207" t="s">
        <v>539</v>
      </c>
      <c r="Y54" s="208" t="s">
        <v>469</v>
      </c>
      <c r="Z54" s="443" t="s">
        <v>540</v>
      </c>
    </row>
    <row r="55" spans="1:25" s="204" customFormat="1" ht="36" customHeight="1">
      <c r="A55" s="200" t="s">
        <v>124</v>
      </c>
      <c r="B55" s="200" t="s">
        <v>145</v>
      </c>
      <c r="C55" s="209" t="s">
        <v>147</v>
      </c>
      <c r="D55" s="201" t="s">
        <v>61</v>
      </c>
      <c r="F55" s="604" t="s">
        <v>148</v>
      </c>
      <c r="G55" s="666"/>
      <c r="H55" s="666"/>
      <c r="I55" s="605"/>
      <c r="J55" s="12" t="s">
        <v>632</v>
      </c>
      <c r="K55" s="207">
        <v>0</v>
      </c>
      <c r="L55" s="207">
        <v>0</v>
      </c>
      <c r="M55" s="207">
        <v>0</v>
      </c>
      <c r="N55" s="207">
        <v>0</v>
      </c>
      <c r="O55" s="207">
        <v>0</v>
      </c>
      <c r="P55" s="207">
        <v>0</v>
      </c>
      <c r="Q55" s="207">
        <v>0</v>
      </c>
      <c r="R55" s="207">
        <v>0</v>
      </c>
      <c r="S55" s="207">
        <v>0</v>
      </c>
      <c r="T55" s="240">
        <f>K55*$C$12+M55+((O55*$C$12+Q55)*S55)</f>
        <v>0</v>
      </c>
      <c r="U55" s="240">
        <f t="shared" si="3"/>
        <v>0</v>
      </c>
      <c r="V55" s="241">
        <f t="shared" si="4"/>
        <v>0</v>
      </c>
      <c r="W55" s="241">
        <f t="shared" si="5"/>
        <v>0</v>
      </c>
      <c r="X55" s="207" t="s">
        <v>311</v>
      </c>
      <c r="Y55" s="266" t="s">
        <v>469</v>
      </c>
    </row>
    <row r="56" spans="1:25" s="204" customFormat="1" ht="36" customHeight="1">
      <c r="A56" s="200" t="s">
        <v>128</v>
      </c>
      <c r="B56" s="200" t="s">
        <v>2</v>
      </c>
      <c r="C56" s="200"/>
      <c r="D56" s="260" t="s">
        <v>63</v>
      </c>
      <c r="E56" s="204" t="s">
        <v>71</v>
      </c>
      <c r="F56" s="671" t="s">
        <v>220</v>
      </c>
      <c r="G56" s="672"/>
      <c r="H56" s="672"/>
      <c r="I56" s="673"/>
      <c r="J56" s="12" t="s">
        <v>633</v>
      </c>
      <c r="K56" s="207">
        <v>0</v>
      </c>
      <c r="L56" s="207">
        <v>0</v>
      </c>
      <c r="M56" s="207">
        <v>0</v>
      </c>
      <c r="N56" s="207">
        <v>0</v>
      </c>
      <c r="O56" s="207">
        <v>0</v>
      </c>
      <c r="P56" s="207">
        <v>0</v>
      </c>
      <c r="Q56" s="207">
        <v>0</v>
      </c>
      <c r="R56" s="207">
        <v>0</v>
      </c>
      <c r="S56" s="207">
        <v>0</v>
      </c>
      <c r="T56" s="240">
        <f>K56*$C$12+M56+((O56*$C$12+Q56)*S56)</f>
        <v>0</v>
      </c>
      <c r="U56" s="240">
        <f t="shared" si="3"/>
        <v>0</v>
      </c>
      <c r="V56" s="241">
        <f t="shared" si="4"/>
        <v>0</v>
      </c>
      <c r="W56" s="241">
        <f t="shared" si="5"/>
        <v>0</v>
      </c>
      <c r="X56" s="207" t="s">
        <v>312</v>
      </c>
      <c r="Y56" s="266" t="s">
        <v>469</v>
      </c>
    </row>
    <row r="57" spans="1:25" s="204" customFormat="1" ht="36" customHeight="1">
      <c r="A57" s="245">
        <v>4.4</v>
      </c>
      <c r="B57" s="245"/>
      <c r="C57" s="245"/>
      <c r="D57" s="245"/>
      <c r="E57" s="245"/>
      <c r="F57" s="245"/>
      <c r="G57" s="245" t="s">
        <v>94</v>
      </c>
      <c r="H57" s="245"/>
      <c r="I57" s="245"/>
      <c r="J57" s="727" t="s">
        <v>634</v>
      </c>
      <c r="K57" s="247"/>
      <c r="L57" s="247"/>
      <c r="M57" s="248"/>
      <c r="N57" s="248"/>
      <c r="O57" s="247"/>
      <c r="P57" s="247"/>
      <c r="Q57" s="248"/>
      <c r="R57" s="248"/>
      <c r="S57" s="247"/>
      <c r="T57" s="247"/>
      <c r="U57" s="247"/>
      <c r="V57" s="249"/>
      <c r="W57" s="249"/>
      <c r="X57" s="250"/>
      <c r="Y57" s="250"/>
    </row>
    <row r="58" spans="1:25" s="204" customFormat="1" ht="36" customHeight="1">
      <c r="A58" s="200" t="s">
        <v>129</v>
      </c>
      <c r="B58" s="200" t="s">
        <v>145</v>
      </c>
      <c r="C58" s="200" t="s">
        <v>59</v>
      </c>
      <c r="D58" s="201" t="s">
        <v>61</v>
      </c>
      <c r="F58" s="604" t="s">
        <v>106</v>
      </c>
      <c r="G58" s="666"/>
      <c r="H58" s="666"/>
      <c r="I58" s="605"/>
      <c r="J58" s="12" t="s">
        <v>634</v>
      </c>
      <c r="K58" s="213">
        <v>0</v>
      </c>
      <c r="L58" s="213">
        <v>0</v>
      </c>
      <c r="M58" s="213">
        <v>0</v>
      </c>
      <c r="N58" s="243">
        <v>0</v>
      </c>
      <c r="O58" s="243">
        <v>0</v>
      </c>
      <c r="P58" s="243">
        <v>0</v>
      </c>
      <c r="Q58" s="213">
        <v>0</v>
      </c>
      <c r="R58" s="243">
        <v>0</v>
      </c>
      <c r="S58" s="243">
        <v>0</v>
      </c>
      <c r="T58" s="240">
        <f aca="true" t="shared" si="6" ref="T58:T67">K58*$C$12+M58+((O58*$C$12+Q58)*S58)</f>
        <v>0</v>
      </c>
      <c r="U58" s="240">
        <f aca="true" t="shared" si="7" ref="U58:U67">L58*$C$12+N58+((P58*$C$12+R58)*S58)</f>
        <v>0</v>
      </c>
      <c r="V58" s="241">
        <f aca="true" t="shared" si="8" ref="V58:V67">K58+(O58*S58)</f>
        <v>0</v>
      </c>
      <c r="W58" s="241">
        <f aca="true" t="shared" si="9" ref="W58:W67">L58+(P58*S58)</f>
        <v>0</v>
      </c>
      <c r="X58" s="207" t="s">
        <v>323</v>
      </c>
      <c r="Y58" s="266" t="s">
        <v>469</v>
      </c>
    </row>
    <row r="59" spans="1:26" s="406" customFormat="1" ht="42">
      <c r="A59" s="337" t="s">
        <v>130</v>
      </c>
      <c r="B59" s="337" t="s">
        <v>145</v>
      </c>
      <c r="C59" s="361" t="s">
        <v>107</v>
      </c>
      <c r="D59" s="203" t="s">
        <v>61</v>
      </c>
      <c r="F59" s="604" t="s">
        <v>227</v>
      </c>
      <c r="G59" s="666"/>
      <c r="H59" s="666"/>
      <c r="I59" s="605"/>
      <c r="J59" s="12" t="s">
        <v>635</v>
      </c>
      <c r="K59" s="408">
        <v>16</v>
      </c>
      <c r="L59" s="408">
        <v>40</v>
      </c>
      <c r="M59" s="404">
        <v>0</v>
      </c>
      <c r="N59" s="404">
        <v>0</v>
      </c>
      <c r="O59" s="408">
        <v>0</v>
      </c>
      <c r="P59" s="410">
        <v>0</v>
      </c>
      <c r="Q59" s="404">
        <v>0</v>
      </c>
      <c r="R59" s="404">
        <v>0</v>
      </c>
      <c r="S59" s="408">
        <v>0</v>
      </c>
      <c r="T59" s="407">
        <f t="shared" si="6"/>
        <v>1600</v>
      </c>
      <c r="U59" s="407">
        <f t="shared" si="7"/>
        <v>4000</v>
      </c>
      <c r="V59" s="409">
        <f t="shared" si="8"/>
        <v>16</v>
      </c>
      <c r="W59" s="409">
        <f t="shared" si="9"/>
        <v>40</v>
      </c>
      <c r="X59" s="345" t="s">
        <v>565</v>
      </c>
      <c r="Y59" s="405" t="s">
        <v>469</v>
      </c>
      <c r="Z59" s="345" t="s">
        <v>566</v>
      </c>
    </row>
    <row r="60" spans="1:26" s="204" customFormat="1" ht="36" customHeight="1">
      <c r="A60" s="200" t="s">
        <v>131</v>
      </c>
      <c r="B60" s="200" t="s">
        <v>2</v>
      </c>
      <c r="C60" s="200"/>
      <c r="D60" s="260" t="s">
        <v>63</v>
      </c>
      <c r="E60" s="204" t="s">
        <v>71</v>
      </c>
      <c r="F60" s="663" t="s">
        <v>95</v>
      </c>
      <c r="G60" s="664"/>
      <c r="H60" s="664"/>
      <c r="I60" s="665"/>
      <c r="J60" s="12" t="s">
        <v>635</v>
      </c>
      <c r="K60" s="213">
        <v>0</v>
      </c>
      <c r="L60" s="213">
        <v>0</v>
      </c>
      <c r="M60" s="213">
        <v>0</v>
      </c>
      <c r="N60" s="243">
        <v>0</v>
      </c>
      <c r="O60" s="243">
        <v>0</v>
      </c>
      <c r="P60" s="243">
        <v>0</v>
      </c>
      <c r="Q60" s="213">
        <v>0</v>
      </c>
      <c r="R60" s="243">
        <v>0</v>
      </c>
      <c r="S60" s="243">
        <v>0</v>
      </c>
      <c r="T60" s="240">
        <f t="shared" si="6"/>
        <v>0</v>
      </c>
      <c r="U60" s="240">
        <f t="shared" si="7"/>
        <v>0</v>
      </c>
      <c r="V60" s="241">
        <f t="shared" si="8"/>
        <v>0</v>
      </c>
      <c r="W60" s="241">
        <f t="shared" si="9"/>
        <v>0</v>
      </c>
      <c r="X60" s="207" t="s">
        <v>293</v>
      </c>
      <c r="Y60" s="266" t="s">
        <v>469</v>
      </c>
      <c r="Z60" s="200"/>
    </row>
    <row r="61" spans="1:26" s="204" customFormat="1" ht="39" customHeight="1">
      <c r="A61" s="200" t="s">
        <v>132</v>
      </c>
      <c r="B61" s="200" t="s">
        <v>145</v>
      </c>
      <c r="C61" s="255"/>
      <c r="D61" s="210" t="s">
        <v>115</v>
      </c>
      <c r="F61" s="604" t="s">
        <v>97</v>
      </c>
      <c r="G61" s="666"/>
      <c r="H61" s="666"/>
      <c r="I61" s="605"/>
      <c r="J61" s="12" t="s">
        <v>636</v>
      </c>
      <c r="K61" s="241">
        <f>ROUNDUP(C5/40*8*2,-1)/10*5</f>
        <v>80</v>
      </c>
      <c r="L61" s="213">
        <f>C6/30*2*8/10*5</f>
        <v>160</v>
      </c>
      <c r="M61" s="240">
        <f>1000/10*5</f>
        <v>500</v>
      </c>
      <c r="N61" s="240">
        <f>1500/10*5</f>
        <v>750</v>
      </c>
      <c r="O61" s="213">
        <v>0</v>
      </c>
      <c r="P61" s="213">
        <v>0</v>
      </c>
      <c r="Q61" s="240">
        <v>0</v>
      </c>
      <c r="R61" s="240">
        <v>0</v>
      </c>
      <c r="S61" s="213">
        <v>0</v>
      </c>
      <c r="T61" s="240">
        <f>K61*$C$12+M61+((O61*$C$12+Q61)*S61)</f>
        <v>8500</v>
      </c>
      <c r="U61" s="240">
        <f t="shared" si="7"/>
        <v>16750</v>
      </c>
      <c r="V61" s="241">
        <f t="shared" si="8"/>
        <v>80</v>
      </c>
      <c r="W61" s="241">
        <f t="shared" si="9"/>
        <v>160</v>
      </c>
      <c r="X61" s="638" t="s">
        <v>545</v>
      </c>
      <c r="Y61" s="208" t="s">
        <v>469</v>
      </c>
      <c r="Z61" s="361" t="s">
        <v>544</v>
      </c>
    </row>
    <row r="62" spans="1:26" s="204" customFormat="1" ht="36" customHeight="1">
      <c r="A62" s="200"/>
      <c r="B62" s="200"/>
      <c r="C62" s="255" t="s">
        <v>103</v>
      </c>
      <c r="D62" s="255"/>
      <c r="F62" s="201"/>
      <c r="G62" s="263" t="s">
        <v>15</v>
      </c>
      <c r="H62" s="265"/>
      <c r="I62" s="264"/>
      <c r="J62" s="12" t="s">
        <v>637</v>
      </c>
      <c r="K62" s="213"/>
      <c r="L62" s="213"/>
      <c r="M62" s="240"/>
      <c r="N62" s="240"/>
      <c r="O62" s="213">
        <v>0</v>
      </c>
      <c r="P62" s="213">
        <v>0</v>
      </c>
      <c r="Q62" s="240"/>
      <c r="R62" s="240"/>
      <c r="S62" s="213">
        <v>0</v>
      </c>
      <c r="T62" s="240">
        <f t="shared" si="6"/>
        <v>0</v>
      </c>
      <c r="U62" s="240">
        <f t="shared" si="7"/>
        <v>0</v>
      </c>
      <c r="V62" s="241">
        <f t="shared" si="8"/>
        <v>0</v>
      </c>
      <c r="W62" s="241">
        <f t="shared" si="9"/>
        <v>0</v>
      </c>
      <c r="X62" s="639"/>
      <c r="Y62" s="200"/>
      <c r="Z62" s="200"/>
    </row>
    <row r="63" spans="1:26" s="204" customFormat="1" ht="36" customHeight="1">
      <c r="A63" s="200"/>
      <c r="B63" s="200"/>
      <c r="C63" s="255" t="s">
        <v>73</v>
      </c>
      <c r="D63" s="255"/>
      <c r="F63" s="201"/>
      <c r="G63" s="606" t="s">
        <v>16</v>
      </c>
      <c r="H63" s="667"/>
      <c r="I63" s="607"/>
      <c r="J63" s="12" t="s">
        <v>638</v>
      </c>
      <c r="K63" s="213"/>
      <c r="L63" s="213"/>
      <c r="M63" s="240"/>
      <c r="N63" s="240"/>
      <c r="O63" s="213">
        <v>0</v>
      </c>
      <c r="P63" s="213">
        <v>0</v>
      </c>
      <c r="Q63" s="240"/>
      <c r="R63" s="240"/>
      <c r="S63" s="213">
        <v>0</v>
      </c>
      <c r="T63" s="240">
        <f t="shared" si="6"/>
        <v>0</v>
      </c>
      <c r="U63" s="240">
        <f t="shared" si="7"/>
        <v>0</v>
      </c>
      <c r="V63" s="241">
        <f t="shared" si="8"/>
        <v>0</v>
      </c>
      <c r="W63" s="241">
        <f t="shared" si="9"/>
        <v>0</v>
      </c>
      <c r="X63" s="639"/>
      <c r="Y63" s="200"/>
      <c r="Z63" s="200"/>
    </row>
    <row r="64" spans="1:26" s="204" customFormat="1" ht="36" customHeight="1">
      <c r="A64" s="200"/>
      <c r="B64" s="200"/>
      <c r="C64" s="255" t="s">
        <v>114</v>
      </c>
      <c r="D64" s="255"/>
      <c r="F64" s="201"/>
      <c r="G64" s="606" t="s">
        <v>17</v>
      </c>
      <c r="H64" s="667"/>
      <c r="I64" s="607"/>
      <c r="J64" s="12" t="s">
        <v>639</v>
      </c>
      <c r="K64" s="213"/>
      <c r="L64" s="213"/>
      <c r="M64" s="240"/>
      <c r="N64" s="240"/>
      <c r="O64" s="213">
        <v>0</v>
      </c>
      <c r="P64" s="213">
        <v>0</v>
      </c>
      <c r="Q64" s="240"/>
      <c r="R64" s="240"/>
      <c r="S64" s="213">
        <v>0</v>
      </c>
      <c r="T64" s="240">
        <f t="shared" si="6"/>
        <v>0</v>
      </c>
      <c r="U64" s="240">
        <f t="shared" si="7"/>
        <v>0</v>
      </c>
      <c r="V64" s="241">
        <f t="shared" si="8"/>
        <v>0</v>
      </c>
      <c r="W64" s="241">
        <f t="shared" si="9"/>
        <v>0</v>
      </c>
      <c r="X64" s="640"/>
      <c r="Y64" s="200"/>
      <c r="Z64" s="200"/>
    </row>
    <row r="65" spans="1:26" s="204" customFormat="1" ht="47.25" customHeight="1">
      <c r="A65" s="200" t="s">
        <v>133</v>
      </c>
      <c r="B65" s="200" t="s">
        <v>145</v>
      </c>
      <c r="C65" s="255" t="s">
        <v>151</v>
      </c>
      <c r="D65" s="255"/>
      <c r="F65" s="201"/>
      <c r="G65" s="604" t="s">
        <v>228</v>
      </c>
      <c r="H65" s="666"/>
      <c r="I65" s="605"/>
      <c r="J65" s="12" t="s">
        <v>640</v>
      </c>
      <c r="K65" s="213">
        <v>0</v>
      </c>
      <c r="L65" s="213">
        <v>0</v>
      </c>
      <c r="M65" s="240">
        <f>C5*C8*C13</f>
        <v>2270.5866666666666</v>
      </c>
      <c r="N65" s="240">
        <f>C6*C8*C13</f>
        <v>3405.8799999999997</v>
      </c>
      <c r="O65" s="213">
        <v>0</v>
      </c>
      <c r="P65" s="213">
        <v>0</v>
      </c>
      <c r="Q65" s="289">
        <v>0</v>
      </c>
      <c r="R65" s="289">
        <v>0</v>
      </c>
      <c r="S65" s="213">
        <v>0</v>
      </c>
      <c r="T65" s="240">
        <f t="shared" si="6"/>
        <v>2270.5866666666666</v>
      </c>
      <c r="U65" s="240">
        <f t="shared" si="7"/>
        <v>3405.8799999999997</v>
      </c>
      <c r="V65" s="241">
        <f t="shared" si="8"/>
        <v>0</v>
      </c>
      <c r="W65" s="241">
        <f t="shared" si="9"/>
        <v>0</v>
      </c>
      <c r="X65" s="207" t="s">
        <v>324</v>
      </c>
      <c r="Y65" s="208" t="s">
        <v>469</v>
      </c>
      <c r="Z65" s="200"/>
    </row>
    <row r="66" spans="1:25" s="204" customFormat="1" ht="36" customHeight="1">
      <c r="A66" s="200" t="s">
        <v>134</v>
      </c>
      <c r="B66" s="200" t="s">
        <v>145</v>
      </c>
      <c r="C66" s="209" t="s">
        <v>150</v>
      </c>
      <c r="D66" s="200"/>
      <c r="F66" s="201"/>
      <c r="G66" s="604" t="s">
        <v>98</v>
      </c>
      <c r="H66" s="666"/>
      <c r="I66" s="605"/>
      <c r="J66" s="12" t="s">
        <v>631</v>
      </c>
      <c r="K66" s="213">
        <v>0</v>
      </c>
      <c r="L66" s="213">
        <v>0</v>
      </c>
      <c r="M66" s="213">
        <v>0</v>
      </c>
      <c r="N66" s="243">
        <v>0</v>
      </c>
      <c r="O66" s="243">
        <v>0</v>
      </c>
      <c r="P66" s="243">
        <v>0</v>
      </c>
      <c r="Q66" s="213">
        <v>0</v>
      </c>
      <c r="R66" s="243">
        <v>0</v>
      </c>
      <c r="S66" s="243">
        <v>0</v>
      </c>
      <c r="T66" s="240">
        <f t="shared" si="6"/>
        <v>0</v>
      </c>
      <c r="U66" s="240">
        <f t="shared" si="7"/>
        <v>0</v>
      </c>
      <c r="V66" s="241">
        <f t="shared" si="8"/>
        <v>0</v>
      </c>
      <c r="W66" s="241">
        <f t="shared" si="9"/>
        <v>0</v>
      </c>
      <c r="X66" s="207" t="s">
        <v>314</v>
      </c>
      <c r="Y66" s="208" t="s">
        <v>469</v>
      </c>
    </row>
    <row r="67" spans="1:25" s="204" customFormat="1" ht="36" customHeight="1">
      <c r="A67" s="200" t="s">
        <v>135</v>
      </c>
      <c r="B67" s="200" t="s">
        <v>2</v>
      </c>
      <c r="C67" s="200"/>
      <c r="D67" s="260" t="s">
        <v>63</v>
      </c>
      <c r="E67" s="204" t="s">
        <v>71</v>
      </c>
      <c r="F67" s="663" t="s">
        <v>109</v>
      </c>
      <c r="G67" s="664"/>
      <c r="H67" s="664"/>
      <c r="I67" s="665"/>
      <c r="J67" s="12"/>
      <c r="K67" s="213">
        <v>0</v>
      </c>
      <c r="L67" s="213">
        <v>0</v>
      </c>
      <c r="M67" s="213">
        <v>0</v>
      </c>
      <c r="N67" s="243">
        <v>0</v>
      </c>
      <c r="O67" s="243">
        <v>0</v>
      </c>
      <c r="P67" s="243">
        <v>0</v>
      </c>
      <c r="Q67" s="213">
        <v>0</v>
      </c>
      <c r="R67" s="243">
        <v>0</v>
      </c>
      <c r="S67" s="243">
        <v>0</v>
      </c>
      <c r="T67" s="240">
        <f t="shared" si="6"/>
        <v>0</v>
      </c>
      <c r="U67" s="240">
        <f t="shared" si="7"/>
        <v>0</v>
      </c>
      <c r="V67" s="241">
        <f t="shared" si="8"/>
        <v>0</v>
      </c>
      <c r="W67" s="241">
        <f t="shared" si="9"/>
        <v>0</v>
      </c>
      <c r="X67" s="207" t="s">
        <v>293</v>
      </c>
      <c r="Y67" s="266" t="s">
        <v>469</v>
      </c>
    </row>
    <row r="68" spans="1:25" s="204" customFormat="1" ht="36" customHeight="1">
      <c r="A68" s="252">
        <v>4.5</v>
      </c>
      <c r="B68" s="252"/>
      <c r="C68" s="252"/>
      <c r="D68" s="252"/>
      <c r="E68" s="245"/>
      <c r="F68" s="245"/>
      <c r="G68" s="252" t="s">
        <v>102</v>
      </c>
      <c r="H68" s="246"/>
      <c r="I68" s="246"/>
      <c r="J68" s="727" t="s">
        <v>622</v>
      </c>
      <c r="K68" s="247"/>
      <c r="L68" s="247"/>
      <c r="M68" s="248"/>
      <c r="N68" s="248"/>
      <c r="O68" s="247"/>
      <c r="P68" s="247"/>
      <c r="Q68" s="248"/>
      <c r="R68" s="248"/>
      <c r="S68" s="247"/>
      <c r="T68" s="247"/>
      <c r="U68" s="247"/>
      <c r="V68" s="249"/>
      <c r="W68" s="249"/>
      <c r="X68" s="250"/>
      <c r="Y68" s="250"/>
    </row>
    <row r="69" spans="1:26" s="204" customFormat="1" ht="88.5" customHeight="1">
      <c r="A69" s="200" t="s">
        <v>136</v>
      </c>
      <c r="B69" s="200" t="s">
        <v>42</v>
      </c>
      <c r="C69" s="200" t="s">
        <v>59</v>
      </c>
      <c r="D69" s="201" t="s">
        <v>61</v>
      </c>
      <c r="F69" s="604" t="s">
        <v>104</v>
      </c>
      <c r="G69" s="666"/>
      <c r="H69" s="666"/>
      <c r="I69" s="605"/>
      <c r="J69" s="12" t="s">
        <v>622</v>
      </c>
      <c r="K69" s="401">
        <v>16</v>
      </c>
      <c r="L69" s="401">
        <v>48</v>
      </c>
      <c r="M69" s="398">
        <v>0</v>
      </c>
      <c r="N69" s="398">
        <v>0</v>
      </c>
      <c r="O69" s="401">
        <v>0</v>
      </c>
      <c r="P69" s="401">
        <v>0</v>
      </c>
      <c r="Q69" s="398">
        <v>0</v>
      </c>
      <c r="R69" s="398">
        <v>0</v>
      </c>
      <c r="S69" s="401">
        <v>0</v>
      </c>
      <c r="T69" s="400">
        <f>K69*$C$12+M69+(((O69*$C$12)+Q69)*S69)</f>
        <v>1600</v>
      </c>
      <c r="U69" s="400">
        <f>L69*$C$12+N69+((P69*$C$12+R69)*S69)</f>
        <v>4800</v>
      </c>
      <c r="V69" s="399">
        <f>K69+(O69*S69)</f>
        <v>16</v>
      </c>
      <c r="W69" s="399">
        <f>L69+(P69*S69)</f>
        <v>48</v>
      </c>
      <c r="X69" s="345" t="s">
        <v>535</v>
      </c>
      <c r="Y69" s="397" t="s">
        <v>299</v>
      </c>
      <c r="Z69" s="345" t="s">
        <v>536</v>
      </c>
    </row>
    <row r="70" spans="1:26" s="406" customFormat="1" ht="49.5" customHeight="1">
      <c r="A70" s="337" t="s">
        <v>137</v>
      </c>
      <c r="B70" s="337" t="s">
        <v>2</v>
      </c>
      <c r="C70" s="337"/>
      <c r="D70" s="211" t="s">
        <v>62</v>
      </c>
      <c r="F70" s="658" t="s">
        <v>105</v>
      </c>
      <c r="G70" s="659"/>
      <c r="H70" s="659"/>
      <c r="I70" s="660"/>
      <c r="J70" s="12" t="s">
        <v>630</v>
      </c>
      <c r="K70" s="408">
        <v>0</v>
      </c>
      <c r="L70" s="408">
        <v>0</v>
      </c>
      <c r="M70" s="407">
        <v>0</v>
      </c>
      <c r="N70" s="407">
        <v>0</v>
      </c>
      <c r="O70" s="408">
        <v>0</v>
      </c>
      <c r="P70" s="408">
        <f>8*C11</f>
        <v>24</v>
      </c>
      <c r="Q70" s="407">
        <v>0</v>
      </c>
      <c r="R70" s="407">
        <v>0</v>
      </c>
      <c r="S70" s="408">
        <v>5</v>
      </c>
      <c r="T70" s="267">
        <f>K70*$C$12+M70+((O70*$C$12+Q70)*S70)</f>
        <v>0</v>
      </c>
      <c r="U70" s="267">
        <f>L70*$C$12+N70+((P70*$C$12+R70)*S70)</f>
        <v>12000</v>
      </c>
      <c r="V70" s="268">
        <f>K70+(O70*S70)</f>
        <v>0</v>
      </c>
      <c r="W70" s="268">
        <f>L70+(P70*S70)</f>
        <v>120</v>
      </c>
      <c r="X70" s="345" t="s">
        <v>567</v>
      </c>
      <c r="Y70" s="361" t="s">
        <v>315</v>
      </c>
      <c r="Z70" s="406" t="s">
        <v>537</v>
      </c>
    </row>
    <row r="71" spans="1:31" s="204" customFormat="1" ht="36" customHeight="1">
      <c r="A71" s="200" t="s">
        <v>138</v>
      </c>
      <c r="B71" s="200" t="s">
        <v>145</v>
      </c>
      <c r="C71" s="200"/>
      <c r="D71" s="211" t="s">
        <v>62</v>
      </c>
      <c r="F71" s="693" t="s">
        <v>152</v>
      </c>
      <c r="G71" s="694"/>
      <c r="H71" s="694"/>
      <c r="I71" s="695"/>
      <c r="J71" s="12" t="s">
        <v>4</v>
      </c>
      <c r="K71" s="213">
        <v>0</v>
      </c>
      <c r="L71" s="213">
        <v>0</v>
      </c>
      <c r="M71" s="240">
        <v>0</v>
      </c>
      <c r="N71" s="240">
        <v>0</v>
      </c>
      <c r="O71" s="213">
        <v>0</v>
      </c>
      <c r="P71" s="213">
        <v>0</v>
      </c>
      <c r="Q71" s="240">
        <v>0</v>
      </c>
      <c r="R71" s="240">
        <v>0</v>
      </c>
      <c r="S71" s="213">
        <v>0</v>
      </c>
      <c r="T71" s="267">
        <f>K71*$C$12+M71+((O71*$C$12+Q71)*S71)</f>
        <v>0</v>
      </c>
      <c r="U71" s="267">
        <f>L71*$C$12+N71+((P71*$C$12+R71)*S71)</f>
        <v>0</v>
      </c>
      <c r="V71" s="268">
        <f>K71+(O71*S71)</f>
        <v>0</v>
      </c>
      <c r="W71" s="268">
        <f>L71+(P71*S71)</f>
        <v>0</v>
      </c>
      <c r="X71" s="207" t="s">
        <v>316</v>
      </c>
      <c r="Y71" s="208" t="s">
        <v>469</v>
      </c>
      <c r="Z71" s="200"/>
      <c r="AA71" s="200"/>
      <c r="AB71" s="200"/>
      <c r="AC71" s="200"/>
      <c r="AD71" s="200"/>
      <c r="AE71" s="200"/>
    </row>
    <row r="72" spans="1:26" s="204" customFormat="1" ht="51" customHeight="1">
      <c r="A72" s="200" t="s">
        <v>139</v>
      </c>
      <c r="B72" s="200" t="s">
        <v>145</v>
      </c>
      <c r="C72" s="200"/>
      <c r="D72" s="201" t="s">
        <v>61</v>
      </c>
      <c r="F72" s="604" t="s">
        <v>116</v>
      </c>
      <c r="G72" s="666"/>
      <c r="H72" s="666"/>
      <c r="I72" s="605"/>
      <c r="J72" s="12" t="s">
        <v>19</v>
      </c>
      <c r="K72" s="213">
        <v>0</v>
      </c>
      <c r="L72" s="213">
        <v>0</v>
      </c>
      <c r="M72" s="240">
        <v>0</v>
      </c>
      <c r="N72" s="240">
        <v>0</v>
      </c>
      <c r="O72" s="213">
        <v>0</v>
      </c>
      <c r="P72" s="213">
        <v>0</v>
      </c>
      <c r="Q72" s="240">
        <v>0</v>
      </c>
      <c r="R72" s="240">
        <v>0</v>
      </c>
      <c r="S72" s="213">
        <v>0</v>
      </c>
      <c r="T72" s="240">
        <f>K72*$C$12+M72+((O72*$C$12+Q72)*S72)</f>
        <v>0</v>
      </c>
      <c r="U72" s="240">
        <f>L72*$C$12+N72+((P72*$C$12+R72)*S72)</f>
        <v>0</v>
      </c>
      <c r="V72" s="241">
        <f>K72+(O72*S72)</f>
        <v>0</v>
      </c>
      <c r="W72" s="241">
        <f>L72+(P72*S72)</f>
        <v>0</v>
      </c>
      <c r="X72" s="207" t="s">
        <v>313</v>
      </c>
      <c r="Y72" s="266" t="s">
        <v>469</v>
      </c>
      <c r="Z72" s="200"/>
    </row>
    <row r="73" spans="1:26" s="204" customFormat="1" ht="36" customHeight="1">
      <c r="A73" s="245">
        <v>4.6</v>
      </c>
      <c r="B73" s="245"/>
      <c r="C73" s="245"/>
      <c r="D73" s="245"/>
      <c r="E73" s="245"/>
      <c r="F73" s="245"/>
      <c r="G73" s="245" t="s">
        <v>99</v>
      </c>
      <c r="H73" s="245"/>
      <c r="I73" s="245"/>
      <c r="J73" s="727" t="s">
        <v>641</v>
      </c>
      <c r="K73" s="247"/>
      <c r="L73" s="247"/>
      <c r="M73" s="248"/>
      <c r="N73" s="248"/>
      <c r="O73" s="247"/>
      <c r="P73" s="247"/>
      <c r="Q73" s="248"/>
      <c r="R73" s="248"/>
      <c r="S73" s="247"/>
      <c r="T73" s="247"/>
      <c r="U73" s="247"/>
      <c r="V73" s="249"/>
      <c r="W73" s="249"/>
      <c r="X73" s="250"/>
      <c r="Y73" s="250"/>
      <c r="Z73" s="200"/>
    </row>
    <row r="74" spans="1:26" s="204" customFormat="1" ht="36" customHeight="1">
      <c r="A74" s="200" t="s">
        <v>140</v>
      </c>
      <c r="B74" s="200" t="s">
        <v>2</v>
      </c>
      <c r="C74" s="200"/>
      <c r="D74" s="260" t="s">
        <v>63</v>
      </c>
      <c r="E74" s="204" t="s">
        <v>71</v>
      </c>
      <c r="F74" s="671" t="s">
        <v>108</v>
      </c>
      <c r="G74" s="672"/>
      <c r="H74" s="672"/>
      <c r="I74" s="673"/>
      <c r="J74" s="12" t="s">
        <v>641</v>
      </c>
      <c r="K74" s="213">
        <v>0</v>
      </c>
      <c r="L74" s="213">
        <v>0</v>
      </c>
      <c r="M74" s="240">
        <v>0</v>
      </c>
      <c r="N74" s="240">
        <v>0</v>
      </c>
      <c r="O74" s="213">
        <v>0</v>
      </c>
      <c r="P74" s="213">
        <v>0</v>
      </c>
      <c r="Q74" s="240">
        <v>0</v>
      </c>
      <c r="R74" s="240">
        <v>0</v>
      </c>
      <c r="S74" s="213">
        <v>0</v>
      </c>
      <c r="T74" s="240">
        <f>K74*$C$12+M74+((O74*$C$12+Q74)*S74)</f>
        <v>0</v>
      </c>
      <c r="U74" s="240">
        <f>L74*$C$12+N74+((P74*$C$12+R74)*S74)</f>
        <v>0</v>
      </c>
      <c r="V74" s="241">
        <f>K74+(O74*S74)</f>
        <v>0</v>
      </c>
      <c r="W74" s="241">
        <f>L74+(P74*S74)</f>
        <v>0</v>
      </c>
      <c r="X74" s="207" t="s">
        <v>293</v>
      </c>
      <c r="Y74" s="266" t="s">
        <v>469</v>
      </c>
      <c r="Z74" s="200"/>
    </row>
    <row r="75" spans="1:26" s="204" customFormat="1" ht="56.25" customHeight="1">
      <c r="A75" s="200" t="s">
        <v>141</v>
      </c>
      <c r="B75" s="200" t="s">
        <v>145</v>
      </c>
      <c r="C75" s="209" t="s">
        <v>111</v>
      </c>
      <c r="D75" s="261" t="s">
        <v>62</v>
      </c>
      <c r="F75" s="658" t="s">
        <v>113</v>
      </c>
      <c r="G75" s="659"/>
      <c r="H75" s="659"/>
      <c r="I75" s="660"/>
      <c r="J75" s="12" t="s">
        <v>641</v>
      </c>
      <c r="K75" s="213">
        <v>0</v>
      </c>
      <c r="L75" s="213">
        <v>0</v>
      </c>
      <c r="M75" s="240">
        <v>0</v>
      </c>
      <c r="N75" s="240">
        <v>0</v>
      </c>
      <c r="O75" s="213">
        <v>0</v>
      </c>
      <c r="P75" s="213">
        <f>(2*4+8)*C11</f>
        <v>48</v>
      </c>
      <c r="Q75" s="240">
        <v>0</v>
      </c>
      <c r="R75" s="400">
        <f>C11*C13</f>
        <v>170.29399999999998</v>
      </c>
      <c r="S75" s="213">
        <v>5</v>
      </c>
      <c r="T75" s="267">
        <f>K75*$C$12+M75+((O75*$C$12+Q75)*S75)</f>
        <v>0</v>
      </c>
      <c r="U75" s="267">
        <f>L75*$C$12+N75+((P75*$C$12+R75)*S75)</f>
        <v>24851.47</v>
      </c>
      <c r="V75" s="268">
        <f>K75+(O75*S75)</f>
        <v>0</v>
      </c>
      <c r="W75" s="268">
        <f>L75+(P75*S75)</f>
        <v>240</v>
      </c>
      <c r="X75" s="207" t="s">
        <v>542</v>
      </c>
      <c r="Y75" s="266" t="s">
        <v>469</v>
      </c>
      <c r="Z75" s="397" t="s">
        <v>537</v>
      </c>
    </row>
    <row r="76" spans="1:26" s="204" customFormat="1" ht="36" customHeight="1">
      <c r="A76" s="245">
        <v>4.7</v>
      </c>
      <c r="B76" s="245"/>
      <c r="C76" s="245"/>
      <c r="D76" s="245"/>
      <c r="E76" s="245"/>
      <c r="F76" s="245"/>
      <c r="G76" s="245" t="s">
        <v>100</v>
      </c>
      <c r="H76" s="246"/>
      <c r="I76" s="246"/>
      <c r="J76" s="727" t="s">
        <v>642</v>
      </c>
      <c r="K76" s="247"/>
      <c r="L76" s="247"/>
      <c r="M76" s="248"/>
      <c r="N76" s="248"/>
      <c r="O76" s="247"/>
      <c r="P76" s="247"/>
      <c r="Q76" s="248"/>
      <c r="R76" s="248"/>
      <c r="S76" s="247"/>
      <c r="T76" s="247"/>
      <c r="U76" s="247"/>
      <c r="V76" s="249"/>
      <c r="W76" s="249"/>
      <c r="X76" s="256"/>
      <c r="Y76" s="250"/>
      <c r="Z76" s="200"/>
    </row>
    <row r="77" spans="1:26" s="204" customFormat="1" ht="39.75" customHeight="1">
      <c r="A77" s="200" t="s">
        <v>154</v>
      </c>
      <c r="B77" s="200" t="s">
        <v>145</v>
      </c>
      <c r="C77" s="209" t="s">
        <v>120</v>
      </c>
      <c r="D77" s="261" t="s">
        <v>62</v>
      </c>
      <c r="F77" s="658" t="s">
        <v>153</v>
      </c>
      <c r="G77" s="659"/>
      <c r="H77" s="659"/>
      <c r="I77" s="660"/>
      <c r="J77" s="12" t="s">
        <v>642</v>
      </c>
      <c r="K77" s="241">
        <v>0</v>
      </c>
      <c r="L77" s="241">
        <v>0</v>
      </c>
      <c r="M77" s="240">
        <v>0</v>
      </c>
      <c r="N77" s="240">
        <v>0</v>
      </c>
      <c r="O77" s="206">
        <v>0</v>
      </c>
      <c r="P77" s="206">
        <v>0</v>
      </c>
      <c r="Q77" s="240">
        <v>0</v>
      </c>
      <c r="R77" s="240">
        <v>0</v>
      </c>
      <c r="S77" s="206">
        <v>0</v>
      </c>
      <c r="T77" s="267">
        <f>K77*$C$12+M77+((O77*$C$12+Q77)*S77)</f>
        <v>0</v>
      </c>
      <c r="U77" s="267">
        <f>L77*$C$12+N77+((P77*$C$12+R77)*S77)</f>
        <v>0</v>
      </c>
      <c r="V77" s="268">
        <f>K77+(O77*S77)</f>
        <v>0</v>
      </c>
      <c r="W77" s="268">
        <f>L77+(P77*S77)</f>
        <v>0</v>
      </c>
      <c r="X77" s="207" t="s">
        <v>325</v>
      </c>
      <c r="Y77" s="208" t="s">
        <v>469</v>
      </c>
      <c r="Z77" s="200"/>
    </row>
    <row r="78" spans="1:26" s="204" customFormat="1" ht="36" customHeight="1">
      <c r="A78" s="245">
        <v>4.8</v>
      </c>
      <c r="B78" s="245"/>
      <c r="C78" s="245"/>
      <c r="D78" s="245"/>
      <c r="E78" s="685" t="s">
        <v>119</v>
      </c>
      <c r="F78" s="686"/>
      <c r="G78" s="686"/>
      <c r="H78" s="686"/>
      <c r="I78" s="687"/>
      <c r="J78" s="247"/>
      <c r="K78" s="247"/>
      <c r="L78" s="247"/>
      <c r="M78" s="248"/>
      <c r="N78" s="248"/>
      <c r="O78" s="247"/>
      <c r="P78" s="247"/>
      <c r="Q78" s="248"/>
      <c r="R78" s="248"/>
      <c r="S78" s="247"/>
      <c r="T78" s="247"/>
      <c r="U78" s="247"/>
      <c r="V78" s="249"/>
      <c r="W78" s="249"/>
      <c r="X78" s="250"/>
      <c r="Y78" s="250"/>
      <c r="Z78" s="200"/>
    </row>
    <row r="79" spans="1:26" s="204" customFormat="1" ht="101.25" customHeight="1">
      <c r="A79" s="200" t="s">
        <v>142</v>
      </c>
      <c r="B79" s="200" t="s">
        <v>87</v>
      </c>
      <c r="C79" s="200"/>
      <c r="D79" s="260" t="s">
        <v>63</v>
      </c>
      <c r="F79" s="663" t="s">
        <v>117</v>
      </c>
      <c r="G79" s="664"/>
      <c r="H79" s="664"/>
      <c r="I79" s="665"/>
      <c r="J79" s="12" t="s">
        <v>643</v>
      </c>
      <c r="K79" s="213">
        <v>0</v>
      </c>
      <c r="L79" s="213">
        <v>0</v>
      </c>
      <c r="M79" s="257">
        <v>0</v>
      </c>
      <c r="N79" s="257">
        <v>0</v>
      </c>
      <c r="O79" s="213">
        <v>20</v>
      </c>
      <c r="P79" s="213">
        <v>20</v>
      </c>
      <c r="Q79" s="257">
        <v>100</v>
      </c>
      <c r="R79" s="257">
        <v>500</v>
      </c>
      <c r="S79" s="213">
        <v>5</v>
      </c>
      <c r="T79" s="240">
        <f>K79*$C$12+M79+(((O79*$C$12)+Q79)*S79)</f>
        <v>10500</v>
      </c>
      <c r="U79" s="240">
        <f>L79*$C$12+N79+((P79*$C$12+R79)*S79)</f>
        <v>12500</v>
      </c>
      <c r="V79" s="241">
        <f>K79+(O79*S79)</f>
        <v>100</v>
      </c>
      <c r="W79" s="241">
        <f>L79+(P79*S79)</f>
        <v>100</v>
      </c>
      <c r="X79" s="207"/>
      <c r="Y79" s="266" t="s">
        <v>469</v>
      </c>
      <c r="Z79" s="361" t="s">
        <v>543</v>
      </c>
    </row>
    <row r="80" spans="1:26" s="204" customFormat="1" ht="36" customHeight="1">
      <c r="A80" s="200" t="s">
        <v>143</v>
      </c>
      <c r="B80" s="200" t="s">
        <v>2</v>
      </c>
      <c r="C80" s="200"/>
      <c r="D80" s="260" t="s">
        <v>63</v>
      </c>
      <c r="E80" s="204" t="s">
        <v>71</v>
      </c>
      <c r="F80" s="663" t="s">
        <v>118</v>
      </c>
      <c r="G80" s="664"/>
      <c r="H80" s="664"/>
      <c r="I80" s="665"/>
      <c r="J80" s="12" t="s">
        <v>643</v>
      </c>
      <c r="K80" s="213">
        <v>0</v>
      </c>
      <c r="L80" s="213">
        <v>0</v>
      </c>
      <c r="M80" s="213">
        <v>0</v>
      </c>
      <c r="N80" s="243">
        <v>0</v>
      </c>
      <c r="O80" s="213"/>
      <c r="P80" s="213"/>
      <c r="Q80" s="213">
        <v>0</v>
      </c>
      <c r="R80" s="243">
        <v>0</v>
      </c>
      <c r="S80" s="213"/>
      <c r="T80" s="240">
        <f>K80*$C$12+M80+((O80*$C$12+Q80)*S80)</f>
        <v>0</v>
      </c>
      <c r="U80" s="240">
        <f>L80*$C$12+N80+((P80*$C$12+R80)*S80)</f>
        <v>0</v>
      </c>
      <c r="V80" s="241">
        <f>K80+(O80*S80)</f>
        <v>0</v>
      </c>
      <c r="W80" s="241">
        <f>L80+(P80*S80)</f>
        <v>0</v>
      </c>
      <c r="X80" s="207" t="s">
        <v>293</v>
      </c>
      <c r="Y80" s="266" t="s">
        <v>469</v>
      </c>
      <c r="Z80" s="200"/>
    </row>
    <row r="81" spans="1:26" s="406" customFormat="1" ht="55.5" customHeight="1">
      <c r="A81" s="348"/>
      <c r="B81" s="348"/>
      <c r="C81" s="348"/>
      <c r="D81" s="348"/>
      <c r="E81" s="348"/>
      <c r="F81" s="348"/>
      <c r="G81" s="348"/>
      <c r="H81" s="348"/>
      <c r="I81" s="348"/>
      <c r="J81" s="270"/>
      <c r="K81" s="270"/>
      <c r="L81" s="270"/>
      <c r="M81" s="271"/>
      <c r="N81" s="271"/>
      <c r="O81" s="270"/>
      <c r="P81" s="270"/>
      <c r="Q81" s="271"/>
      <c r="R81" s="271"/>
      <c r="S81" s="351" t="s">
        <v>483</v>
      </c>
      <c r="T81" s="352">
        <f>ROUND((SUM(T30:T80)-T77-T75-T71-T70-T53-T42-T32),3-(INT(LOG((SUM(T30:T80)-T77-T75-T71-T70-T53-T42-T32))+1)))</f>
        <v>86900</v>
      </c>
      <c r="U81" s="352">
        <f>ROUND((SUM(U30:U80)-U77-U75-U71-U70-U53-U42-U32-U61),3-(INT(LOG((SUM(U30:U80)-U77-U75-U71-U70-U53-U42-U32-U61))+1)))</f>
        <v>267000</v>
      </c>
      <c r="V81" s="353">
        <f>ROUND((SUM(V30:V80)-V77-V75-V71-V70-V53-V42-V32),3-(INT(LOG((SUM(V30:V80)-V77-V75-V71-V70-V53-V42-V32))+1)))</f>
        <v>806</v>
      </c>
      <c r="W81" s="353">
        <f>ROUND((SUM(W30:W80)-W77-W75-W71-W70-W53-W42-W32-W61),3-(INT(LOG((SUM(W30:W80)-W77-W75-W71-W70-W53-W42-W32-W61))+1)))</f>
        <v>2510</v>
      </c>
      <c r="X81" s="284" t="s">
        <v>546</v>
      </c>
      <c r="Y81" s="348"/>
      <c r="Z81" s="361" t="s">
        <v>547</v>
      </c>
    </row>
    <row r="82" spans="1:23" ht="13.5">
      <c r="A82" s="45"/>
      <c r="K82" s="47"/>
      <c r="L82" s="47"/>
      <c r="M82" s="47"/>
      <c r="N82" s="47"/>
      <c r="O82" s="47"/>
      <c r="P82" s="47"/>
      <c r="V82" s="59"/>
      <c r="W82" s="59"/>
    </row>
    <row r="84" spans="11:16" ht="13.5">
      <c r="K84" s="425"/>
      <c r="L84" s="425"/>
      <c r="O84" s="425"/>
      <c r="P84" s="425"/>
    </row>
  </sheetData>
  <sheetProtection/>
  <mergeCells count="97">
    <mergeCell ref="Y47:Y48"/>
    <mergeCell ref="A8:B8"/>
    <mergeCell ref="F71:I71"/>
    <mergeCell ref="F72:I72"/>
    <mergeCell ref="F74:I74"/>
    <mergeCell ref="F75:I75"/>
    <mergeCell ref="F58:I58"/>
    <mergeCell ref="F59:I59"/>
    <mergeCell ref="F60:I60"/>
    <mergeCell ref="F61:I61"/>
    <mergeCell ref="F80:I80"/>
    <mergeCell ref="E78:I78"/>
    <mergeCell ref="F77:I77"/>
    <mergeCell ref="F79:I79"/>
    <mergeCell ref="F47:I47"/>
    <mergeCell ref="F48:I48"/>
    <mergeCell ref="F49:I49"/>
    <mergeCell ref="F69:I69"/>
    <mergeCell ref="A10:B10"/>
    <mergeCell ref="A13:B13"/>
    <mergeCell ref="A14:B14"/>
    <mergeCell ref="A12:B12"/>
    <mergeCell ref="A11:B11"/>
    <mergeCell ref="F43:I43"/>
    <mergeCell ref="F36:I36"/>
    <mergeCell ref="A26:A28"/>
    <mergeCell ref="B26:B28"/>
    <mergeCell ref="C26:C28"/>
    <mergeCell ref="D26:D28"/>
    <mergeCell ref="A1:C1"/>
    <mergeCell ref="B17:C17"/>
    <mergeCell ref="D17:E17"/>
    <mergeCell ref="A5:B5"/>
    <mergeCell ref="A6:B6"/>
    <mergeCell ref="G66:I66"/>
    <mergeCell ref="F51:I51"/>
    <mergeCell ref="F55:I55"/>
    <mergeCell ref="F56:I56"/>
    <mergeCell ref="F54:I54"/>
    <mergeCell ref="A2:B2"/>
    <mergeCell ref="A3:B3"/>
    <mergeCell ref="A4:B4"/>
    <mergeCell ref="A7:B7"/>
    <mergeCell ref="A9:B9"/>
    <mergeCell ref="G63:I63"/>
    <mergeCell ref="G64:I64"/>
    <mergeCell ref="G65:I65"/>
    <mergeCell ref="F38:I38"/>
    <mergeCell ref="F39:I39"/>
    <mergeCell ref="F37:I37"/>
    <mergeCell ref="F45:I45"/>
    <mergeCell ref="F70:I70"/>
    <mergeCell ref="Q38:R38"/>
    <mergeCell ref="G41:I41"/>
    <mergeCell ref="L47:L48"/>
    <mergeCell ref="F44:I44"/>
    <mergeCell ref="F40:I40"/>
    <mergeCell ref="F42:I42"/>
    <mergeCell ref="F67:I67"/>
    <mergeCell ref="F52:I52"/>
    <mergeCell ref="F53:I53"/>
    <mergeCell ref="K47:K48"/>
    <mergeCell ref="Q47:Q48"/>
    <mergeCell ref="O47:O48"/>
    <mergeCell ref="P47:P48"/>
    <mergeCell ref="S47:S48"/>
    <mergeCell ref="T47:T48"/>
    <mergeCell ref="M47:M48"/>
    <mergeCell ref="N47:N48"/>
    <mergeCell ref="K27:L27"/>
    <mergeCell ref="M27:N27"/>
    <mergeCell ref="F33:I33"/>
    <mergeCell ref="J26:J28"/>
    <mergeCell ref="F35:I35"/>
    <mergeCell ref="O27:P27"/>
    <mergeCell ref="F29:I29"/>
    <mergeCell ref="F31:I31"/>
    <mergeCell ref="F30:I30"/>
    <mergeCell ref="X61:X64"/>
    <mergeCell ref="O26:R26"/>
    <mergeCell ref="S26:S28"/>
    <mergeCell ref="T26:W26"/>
    <mergeCell ref="X26:X28"/>
    <mergeCell ref="U47:U48"/>
    <mergeCell ref="Q27:R27"/>
    <mergeCell ref="T27:U27"/>
    <mergeCell ref="R47:R48"/>
    <mergeCell ref="Y26:Y28"/>
    <mergeCell ref="V27:W27"/>
    <mergeCell ref="V47:V48"/>
    <mergeCell ref="W47:W48"/>
    <mergeCell ref="X47:X48"/>
    <mergeCell ref="E26:E28"/>
    <mergeCell ref="F26:I28"/>
    <mergeCell ref="F32:I32"/>
    <mergeCell ref="F34:I34"/>
    <mergeCell ref="K26:N26"/>
  </mergeCells>
  <printOptions/>
  <pageMargins left="0.7" right="0.7" top="0.75" bottom="0.75" header="0.3" footer="0.3"/>
  <pageSetup fitToHeight="4" fitToWidth="1" horizontalDpi="600" verticalDpi="600" orientation="landscape" paperSize="17" scale="39"/>
</worksheet>
</file>

<file path=xl/worksheets/sheet8.xml><?xml version="1.0" encoding="utf-8"?>
<worksheet xmlns="http://schemas.openxmlformats.org/spreadsheetml/2006/main" xmlns:r="http://schemas.openxmlformats.org/officeDocument/2006/relationships">
  <sheetPr>
    <pageSetUpPr fitToPage="1"/>
  </sheetPr>
  <dimension ref="A1:X58"/>
  <sheetViews>
    <sheetView zoomScale="75" zoomScaleNormal="75" workbookViewId="0" topLeftCell="A1">
      <selection activeCell="A14" sqref="A14"/>
    </sheetView>
  </sheetViews>
  <sheetFormatPr defaultColWidth="8.8515625" defaultRowHeight="15"/>
  <cols>
    <col min="1" max="1" width="10.421875" style="0" bestFit="1" customWidth="1"/>
    <col min="2" max="2" width="10.421875" style="0" customWidth="1"/>
    <col min="3" max="3" width="10.421875" style="1" customWidth="1"/>
    <col min="4" max="4" width="12.28125" style="0" customWidth="1"/>
    <col min="5" max="5" width="15.28125" style="1" customWidth="1"/>
    <col min="6" max="6" width="5.7109375" style="1" customWidth="1"/>
    <col min="7" max="7" width="94.8515625" style="0" customWidth="1"/>
    <col min="8" max="8" width="23.140625" style="0" customWidth="1"/>
    <col min="9" max="10" width="10.7109375" style="21" customWidth="1"/>
    <col min="11" max="12" width="12.421875" style="24" customWidth="1"/>
    <col min="13" max="16" width="12.8515625" style="24" customWidth="1"/>
    <col min="17" max="17" width="13.28125" style="24" customWidth="1"/>
    <col min="18" max="21" width="11.421875" style="24" customWidth="1"/>
    <col min="22" max="22" width="57.421875" style="7" customWidth="1"/>
    <col min="23" max="23" width="36.8515625" style="0" customWidth="1"/>
    <col min="24" max="24" width="43.28125" style="0" customWidth="1"/>
  </cols>
  <sheetData>
    <row r="1" spans="1:5" s="47" customFormat="1" ht="21.75" customHeight="1">
      <c r="A1" s="486" t="s">
        <v>477</v>
      </c>
      <c r="B1" s="487"/>
      <c r="C1" s="487"/>
      <c r="D1" s="487"/>
      <c r="E1" s="488"/>
    </row>
    <row r="2" spans="1:5" s="47" customFormat="1" ht="21.75" customHeight="1">
      <c r="A2" s="403"/>
      <c r="B2" s="412"/>
      <c r="C2" s="412"/>
      <c r="D2" s="414" t="s">
        <v>304</v>
      </c>
      <c r="E2" s="416" t="s">
        <v>305</v>
      </c>
    </row>
    <row r="3" spans="1:5" s="47" customFormat="1" ht="21.75" customHeight="1">
      <c r="A3" s="460" t="s">
        <v>346</v>
      </c>
      <c r="B3" s="461"/>
      <c r="C3" s="415">
        <f>'MS4 Stats'!B10</f>
        <v>100</v>
      </c>
      <c r="D3" s="418"/>
      <c r="E3" s="419"/>
    </row>
    <row r="4" spans="1:5" s="47" customFormat="1" ht="28.5" customHeight="1">
      <c r="A4" s="705" t="s">
        <v>548</v>
      </c>
      <c r="B4" s="706"/>
      <c r="C4" s="417"/>
      <c r="D4" s="420">
        <v>3</v>
      </c>
      <c r="E4" s="421">
        <v>5</v>
      </c>
    </row>
    <row r="5" spans="3:22" ht="21.75" customHeight="1">
      <c r="C5"/>
      <c r="D5" s="3"/>
      <c r="E5"/>
      <c r="F5"/>
      <c r="I5"/>
      <c r="J5"/>
      <c r="K5"/>
      <c r="L5"/>
      <c r="M5"/>
      <c r="N5"/>
      <c r="O5"/>
      <c r="P5"/>
      <c r="Q5"/>
      <c r="R5"/>
      <c r="S5"/>
      <c r="T5"/>
      <c r="U5"/>
      <c r="V5"/>
    </row>
    <row r="6" spans="1:22" ht="21.75" customHeight="1">
      <c r="A6" s="72"/>
      <c r="B6" s="487" t="s">
        <v>479</v>
      </c>
      <c r="C6" s="487"/>
      <c r="D6" s="487" t="s">
        <v>259</v>
      </c>
      <c r="E6" s="488"/>
      <c r="F6"/>
      <c r="I6"/>
      <c r="J6"/>
      <c r="K6"/>
      <c r="L6"/>
      <c r="M6"/>
      <c r="N6"/>
      <c r="O6"/>
      <c r="P6"/>
      <c r="Q6"/>
      <c r="R6"/>
      <c r="S6"/>
      <c r="T6"/>
      <c r="U6"/>
      <c r="V6"/>
    </row>
    <row r="7" spans="1:22" ht="21.75" customHeight="1">
      <c r="A7" s="102"/>
      <c r="B7" s="103" t="s">
        <v>304</v>
      </c>
      <c r="C7" s="103" t="s">
        <v>305</v>
      </c>
      <c r="D7" s="103" t="s">
        <v>304</v>
      </c>
      <c r="E7" s="104" t="s">
        <v>305</v>
      </c>
      <c r="F7"/>
      <c r="I7"/>
      <c r="J7"/>
      <c r="K7"/>
      <c r="L7"/>
      <c r="M7"/>
      <c r="N7"/>
      <c r="O7"/>
      <c r="P7"/>
      <c r="Q7"/>
      <c r="R7"/>
      <c r="S7"/>
      <c r="T7"/>
      <c r="U7"/>
      <c r="V7"/>
    </row>
    <row r="8" spans="1:22" ht="21.75" customHeight="1">
      <c r="A8" s="85" t="s">
        <v>63</v>
      </c>
      <c r="B8" s="86">
        <f>R29</f>
        <v>0</v>
      </c>
      <c r="C8" s="87">
        <f>S29</f>
        <v>0</v>
      </c>
      <c r="D8" s="232">
        <f>T29</f>
        <v>0</v>
      </c>
      <c r="E8" s="233">
        <f>U29</f>
        <v>0</v>
      </c>
      <c r="F8"/>
      <c r="I8"/>
      <c r="J8"/>
      <c r="K8"/>
      <c r="L8"/>
      <c r="M8"/>
      <c r="N8"/>
      <c r="O8"/>
      <c r="P8"/>
      <c r="Q8"/>
      <c r="R8"/>
      <c r="S8"/>
      <c r="T8"/>
      <c r="U8"/>
      <c r="V8"/>
    </row>
    <row r="9" spans="1:22" ht="21.75" customHeight="1">
      <c r="A9" s="90" t="s">
        <v>480</v>
      </c>
      <c r="B9" s="91">
        <f>ROUND((R23+R24+R25+R26),3-(INT(LOG((R23+R24+R25+R26))+1)))</f>
        <v>4200</v>
      </c>
      <c r="C9" s="323">
        <f>ROUND((S23+S24+S25+S26),3-(INT(LOG((S23+S24+S25+S26))+1)))</f>
        <v>21600</v>
      </c>
      <c r="D9" s="286">
        <f>ROUND((T23+T24+T25+T26),3-(INT(LOG((T23+T24+T25+T26))+1)))</f>
        <v>32</v>
      </c>
      <c r="E9" s="286">
        <f>ROUND((U23+U24+U25+U26),3-(INT(LOG((U23+U24+U25+U26))+1)))</f>
        <v>96</v>
      </c>
      <c r="F9"/>
      <c r="I9"/>
      <c r="J9"/>
      <c r="K9"/>
      <c r="L9"/>
      <c r="M9"/>
      <c r="N9"/>
      <c r="O9"/>
      <c r="P9"/>
      <c r="Q9"/>
      <c r="R9"/>
      <c r="S9"/>
      <c r="T9"/>
      <c r="U9"/>
      <c r="V9"/>
    </row>
    <row r="10" spans="1:22" ht="21.75" customHeight="1">
      <c r="A10" s="94" t="s">
        <v>62</v>
      </c>
      <c r="B10" s="95">
        <f>ROUND((R27+R28),3-(INT(LOG((R27+R28))+1)))</f>
        <v>42000</v>
      </c>
      <c r="C10" s="95">
        <f>ROUND((S27+S28),3-(INT(LOG((S27+S28))+1)))</f>
        <v>120000</v>
      </c>
      <c r="D10" s="272">
        <f>ROUND((T27+T28),3-(INT(LOG((T27+T28))+1)))</f>
        <v>420</v>
      </c>
      <c r="E10" s="272">
        <f>ROUND((U27+U28),3-(INT(LOG((U27+U28))+1)))</f>
        <v>1200</v>
      </c>
      <c r="F10"/>
      <c r="I10"/>
      <c r="J10"/>
      <c r="K10"/>
      <c r="L10"/>
      <c r="M10"/>
      <c r="N10"/>
      <c r="O10"/>
      <c r="P10"/>
      <c r="Q10"/>
      <c r="R10"/>
      <c r="S10"/>
      <c r="T10"/>
      <c r="U10"/>
      <c r="V10"/>
    </row>
    <row r="11" spans="1:22" ht="21.75" customHeight="1">
      <c r="A11" s="98" t="s">
        <v>481</v>
      </c>
      <c r="B11" s="99">
        <f>R30</f>
        <v>4200</v>
      </c>
      <c r="C11" s="99">
        <f>S30</f>
        <v>21600</v>
      </c>
      <c r="D11" s="178">
        <f>T30</f>
        <v>32</v>
      </c>
      <c r="E11" s="178">
        <f>U30</f>
        <v>96</v>
      </c>
      <c r="F11"/>
      <c r="I11"/>
      <c r="J11"/>
      <c r="K11"/>
      <c r="L11"/>
      <c r="M11"/>
      <c r="N11"/>
      <c r="O11"/>
      <c r="P11"/>
      <c r="Q11"/>
      <c r="R11"/>
      <c r="S11"/>
      <c r="T11"/>
      <c r="U11"/>
      <c r="V11"/>
    </row>
    <row r="12" spans="1:5" ht="13.5">
      <c r="A12" s="184" t="s">
        <v>482</v>
      </c>
      <c r="B12" s="185"/>
      <c r="C12" s="186"/>
      <c r="D12" s="185"/>
      <c r="E12" s="187"/>
    </row>
    <row r="13" ht="13.5">
      <c r="K13" s="52"/>
    </row>
    <row r="15" spans="9:10" ht="13.5">
      <c r="I15" s="42"/>
      <c r="J15" s="42"/>
    </row>
    <row r="16" spans="8:10" ht="13.5">
      <c r="H16" s="41"/>
      <c r="I16" s="42"/>
      <c r="J16" s="42"/>
    </row>
    <row r="17" spans="8:10" ht="13.5">
      <c r="H17" s="41"/>
      <c r="I17" s="42"/>
      <c r="J17" s="42"/>
    </row>
    <row r="19" spans="1:23" ht="79.5" customHeight="1">
      <c r="A19" s="585" t="s">
        <v>0</v>
      </c>
      <c r="B19" s="585" t="s">
        <v>29</v>
      </c>
      <c r="C19" s="586" t="s">
        <v>32</v>
      </c>
      <c r="D19" s="586" t="s">
        <v>110</v>
      </c>
      <c r="E19" s="586" t="s">
        <v>70</v>
      </c>
      <c r="F19" s="587" t="s">
        <v>20</v>
      </c>
      <c r="G19" s="588"/>
      <c r="H19" s="584" t="s">
        <v>1</v>
      </c>
      <c r="I19" s="603" t="s">
        <v>497</v>
      </c>
      <c r="J19" s="603"/>
      <c r="K19" s="603"/>
      <c r="L19" s="603"/>
      <c r="M19" s="603" t="s">
        <v>498</v>
      </c>
      <c r="N19" s="603"/>
      <c r="O19" s="603"/>
      <c r="P19" s="603"/>
      <c r="Q19" s="603"/>
      <c r="R19" s="700" t="s">
        <v>499</v>
      </c>
      <c r="S19" s="701"/>
      <c r="T19" s="701"/>
      <c r="U19" s="702"/>
      <c r="V19" s="581" t="s">
        <v>262</v>
      </c>
      <c r="W19" s="584" t="s">
        <v>261</v>
      </c>
    </row>
    <row r="20" spans="1:23" ht="55.5" customHeight="1">
      <c r="A20" s="541"/>
      <c r="B20" s="541"/>
      <c r="C20" s="544"/>
      <c r="D20" s="544"/>
      <c r="E20" s="544"/>
      <c r="F20" s="589"/>
      <c r="G20" s="590"/>
      <c r="H20" s="523"/>
      <c r="I20" s="603" t="s">
        <v>259</v>
      </c>
      <c r="J20" s="603"/>
      <c r="K20" s="531" t="s">
        <v>450</v>
      </c>
      <c r="L20" s="531"/>
      <c r="M20" s="602" t="s">
        <v>321</v>
      </c>
      <c r="N20" s="602"/>
      <c r="O20" s="602" t="s">
        <v>450</v>
      </c>
      <c r="P20" s="602"/>
      <c r="Q20" s="299" t="s">
        <v>264</v>
      </c>
      <c r="R20" s="696" t="s">
        <v>326</v>
      </c>
      <c r="S20" s="697"/>
      <c r="T20" s="698" t="s">
        <v>472</v>
      </c>
      <c r="U20" s="699"/>
      <c r="V20" s="582"/>
      <c r="W20" s="523"/>
    </row>
    <row r="21" spans="1:23" ht="39.75" customHeight="1">
      <c r="A21" s="542"/>
      <c r="B21" s="542"/>
      <c r="C21" s="545"/>
      <c r="D21" s="545"/>
      <c r="E21" s="545"/>
      <c r="F21" s="591"/>
      <c r="G21" s="592"/>
      <c r="H21" s="524"/>
      <c r="I21" s="300" t="s">
        <v>304</v>
      </c>
      <c r="J21" s="300" t="s">
        <v>305</v>
      </c>
      <c r="K21" s="301" t="s">
        <v>304</v>
      </c>
      <c r="L21" s="301" t="s">
        <v>305</v>
      </c>
      <c r="M21" s="302" t="s">
        <v>304</v>
      </c>
      <c r="N21" s="302" t="s">
        <v>305</v>
      </c>
      <c r="O21" s="302" t="s">
        <v>304</v>
      </c>
      <c r="P21" s="302" t="s">
        <v>305</v>
      </c>
      <c r="Q21" s="299"/>
      <c r="R21" s="301" t="s">
        <v>304</v>
      </c>
      <c r="S21" s="301" t="s">
        <v>305</v>
      </c>
      <c r="T21" s="301" t="s">
        <v>304</v>
      </c>
      <c r="U21" s="301" t="s">
        <v>305</v>
      </c>
      <c r="V21" s="583"/>
      <c r="W21" s="524"/>
    </row>
    <row r="22" spans="1:24" ht="79.5" customHeight="1">
      <c r="A22" s="190">
        <v>1</v>
      </c>
      <c r="B22" s="190"/>
      <c r="C22" s="190"/>
      <c r="D22" s="190"/>
      <c r="E22" s="190"/>
      <c r="F22" s="650" t="s">
        <v>155</v>
      </c>
      <c r="G22" s="652"/>
      <c r="H22" s="726" t="s">
        <v>644</v>
      </c>
      <c r="I22" s="192"/>
      <c r="J22" s="192"/>
      <c r="K22" s="193"/>
      <c r="L22" s="193"/>
      <c r="M22" s="193"/>
      <c r="N22" s="193"/>
      <c r="O22" s="193"/>
      <c r="P22" s="193"/>
      <c r="Q22" s="193"/>
      <c r="R22" s="193"/>
      <c r="S22" s="193"/>
      <c r="T22" s="193"/>
      <c r="U22" s="193"/>
      <c r="V22" s="194"/>
      <c r="W22" s="195" t="s">
        <v>260</v>
      </c>
      <c r="X22" s="2"/>
    </row>
    <row r="23" spans="1:24" ht="79.5" customHeight="1">
      <c r="A23" s="200">
        <v>1.1</v>
      </c>
      <c r="B23" s="209" t="s">
        <v>160</v>
      </c>
      <c r="C23" s="209" t="s">
        <v>88</v>
      </c>
      <c r="D23" s="201" t="s">
        <v>61</v>
      </c>
      <c r="E23" s="200"/>
      <c r="F23" s="647" t="s">
        <v>156</v>
      </c>
      <c r="G23" s="649"/>
      <c r="H23" s="728" t="s">
        <v>645</v>
      </c>
      <c r="I23" s="205">
        <v>0</v>
      </c>
      <c r="J23" s="205"/>
      <c r="K23" s="206">
        <v>0</v>
      </c>
      <c r="L23" s="206"/>
      <c r="M23" s="205">
        <v>0</v>
      </c>
      <c r="N23" s="205"/>
      <c r="O23" s="206">
        <v>0</v>
      </c>
      <c r="P23" s="206"/>
      <c r="Q23" s="205">
        <v>0</v>
      </c>
      <c r="R23" s="206">
        <f>I23*$C$3+K23+((M23*$C$3+O23)*$Q23)</f>
        <v>0</v>
      </c>
      <c r="S23" s="206">
        <f>J23*$C$3+L23+((N23*$C$3+P23)*$Q23)</f>
        <v>0</v>
      </c>
      <c r="T23" s="205">
        <f aca="true" t="shared" si="0" ref="T23:U29">I23+(M23*5)</f>
        <v>0</v>
      </c>
      <c r="U23" s="205">
        <f t="shared" si="0"/>
        <v>0</v>
      </c>
      <c r="V23" s="274" t="s">
        <v>460</v>
      </c>
      <c r="W23" s="208"/>
      <c r="X23" s="2"/>
    </row>
    <row r="24" spans="1:24" ht="79.5" customHeight="1">
      <c r="A24" s="200">
        <v>1.2</v>
      </c>
      <c r="B24" s="209" t="s">
        <v>161</v>
      </c>
      <c r="C24" s="200" t="s">
        <v>59</v>
      </c>
      <c r="D24" s="201" t="s">
        <v>61</v>
      </c>
      <c r="E24" s="200"/>
      <c r="F24" s="647" t="s">
        <v>157</v>
      </c>
      <c r="G24" s="649"/>
      <c r="H24" s="728" t="s">
        <v>646</v>
      </c>
      <c r="I24" s="205">
        <v>0</v>
      </c>
      <c r="J24" s="205"/>
      <c r="K24" s="206">
        <v>0</v>
      </c>
      <c r="L24" s="206"/>
      <c r="M24" s="206">
        <v>0</v>
      </c>
      <c r="N24" s="206"/>
      <c r="O24" s="206">
        <v>0</v>
      </c>
      <c r="P24" s="206"/>
      <c r="Q24" s="228">
        <v>0</v>
      </c>
      <c r="R24" s="206">
        <f aca="true" t="shared" si="1" ref="R24:R29">I24*$C$3+K24+((M24*$C$3+O24)*Q24)</f>
        <v>0</v>
      </c>
      <c r="S24" s="206">
        <f aca="true" t="shared" si="2" ref="S24:S29">J24*$C$3+L24+((N24*$C$3+P24)*$Q24)</f>
        <v>0</v>
      </c>
      <c r="T24" s="205">
        <f t="shared" si="0"/>
        <v>0</v>
      </c>
      <c r="U24" s="205">
        <f t="shared" si="0"/>
        <v>0</v>
      </c>
      <c r="V24" s="274" t="s">
        <v>269</v>
      </c>
      <c r="W24" s="208"/>
      <c r="X24" s="2"/>
    </row>
    <row r="25" spans="1:24" ht="79.5" customHeight="1">
      <c r="A25" s="200">
        <v>1.3</v>
      </c>
      <c r="B25" s="209" t="s">
        <v>160</v>
      </c>
      <c r="C25" s="200" t="s">
        <v>59</v>
      </c>
      <c r="D25" s="201" t="s">
        <v>61</v>
      </c>
      <c r="E25" s="200"/>
      <c r="F25" s="647" t="s">
        <v>158</v>
      </c>
      <c r="G25" s="649"/>
      <c r="H25" s="728" t="s">
        <v>647</v>
      </c>
      <c r="I25" s="205">
        <v>32</v>
      </c>
      <c r="J25" s="205">
        <v>40</v>
      </c>
      <c r="K25" s="206">
        <v>1000</v>
      </c>
      <c r="L25" s="206">
        <v>2000</v>
      </c>
      <c r="M25" s="205">
        <v>0</v>
      </c>
      <c r="N25" s="205"/>
      <c r="O25" s="206">
        <v>0</v>
      </c>
      <c r="P25" s="206"/>
      <c r="Q25" s="228">
        <v>0</v>
      </c>
      <c r="R25" s="206">
        <f t="shared" si="1"/>
        <v>4200</v>
      </c>
      <c r="S25" s="206">
        <f t="shared" si="2"/>
        <v>6000</v>
      </c>
      <c r="T25" s="205">
        <f t="shared" si="0"/>
        <v>32</v>
      </c>
      <c r="U25" s="205">
        <f t="shared" si="0"/>
        <v>40</v>
      </c>
      <c r="V25" s="274" t="s">
        <v>357</v>
      </c>
      <c r="W25" s="207" t="s">
        <v>551</v>
      </c>
      <c r="X25" s="2"/>
    </row>
    <row r="26" spans="1:24" ht="79.5" customHeight="1">
      <c r="A26" s="200">
        <v>1.4</v>
      </c>
      <c r="B26" s="200" t="s">
        <v>2</v>
      </c>
      <c r="C26" s="200" t="s">
        <v>59</v>
      </c>
      <c r="D26" s="201" t="s">
        <v>61</v>
      </c>
      <c r="E26" s="200"/>
      <c r="F26" s="647" t="s">
        <v>231</v>
      </c>
      <c r="G26" s="649"/>
      <c r="H26" s="728" t="s">
        <v>648</v>
      </c>
      <c r="I26" s="205">
        <v>0</v>
      </c>
      <c r="J26" s="205">
        <v>56</v>
      </c>
      <c r="K26" s="275">
        <v>0</v>
      </c>
      <c r="L26" s="275">
        <v>0</v>
      </c>
      <c r="M26" s="205">
        <v>0</v>
      </c>
      <c r="N26" s="205"/>
      <c r="O26" s="206">
        <v>0</v>
      </c>
      <c r="P26" s="206">
        <v>2000</v>
      </c>
      <c r="Q26" s="228">
        <v>5</v>
      </c>
      <c r="R26" s="206">
        <f t="shared" si="1"/>
        <v>0</v>
      </c>
      <c r="S26" s="206">
        <f t="shared" si="2"/>
        <v>15600</v>
      </c>
      <c r="T26" s="205">
        <f t="shared" si="0"/>
        <v>0</v>
      </c>
      <c r="U26" s="205">
        <f t="shared" si="0"/>
        <v>56</v>
      </c>
      <c r="V26" s="274" t="s">
        <v>549</v>
      </c>
      <c r="W26" s="207" t="s">
        <v>552</v>
      </c>
      <c r="X26" s="2"/>
    </row>
    <row r="27" spans="1:24" ht="90.75" customHeight="1">
      <c r="A27" s="200" t="s">
        <v>294</v>
      </c>
      <c r="B27" s="200" t="s">
        <v>145</v>
      </c>
      <c r="C27" s="200" t="s">
        <v>59</v>
      </c>
      <c r="D27" s="211" t="s">
        <v>62</v>
      </c>
      <c r="E27" s="200"/>
      <c r="F27" s="703" t="s">
        <v>297</v>
      </c>
      <c r="G27" s="704"/>
      <c r="H27" s="728" t="s">
        <v>648</v>
      </c>
      <c r="I27" s="205">
        <v>0</v>
      </c>
      <c r="J27" s="205"/>
      <c r="K27" s="275">
        <v>0</v>
      </c>
      <c r="L27" s="275"/>
      <c r="M27" s="276">
        <f>24*D4</f>
        <v>72</v>
      </c>
      <c r="N27" s="276">
        <f>40*E4</f>
        <v>200</v>
      </c>
      <c r="O27" s="206">
        <v>0</v>
      </c>
      <c r="P27" s="206"/>
      <c r="Q27" s="205">
        <v>5</v>
      </c>
      <c r="R27" s="217">
        <f t="shared" si="1"/>
        <v>36000</v>
      </c>
      <c r="S27" s="217">
        <f t="shared" si="2"/>
        <v>100000</v>
      </c>
      <c r="T27" s="278">
        <f t="shared" si="0"/>
        <v>360</v>
      </c>
      <c r="U27" s="278">
        <f t="shared" si="0"/>
        <v>1000</v>
      </c>
      <c r="V27" s="273" t="s">
        <v>449</v>
      </c>
      <c r="W27" s="207" t="s">
        <v>553</v>
      </c>
      <c r="X27" s="411" t="s">
        <v>550</v>
      </c>
    </row>
    <row r="28" spans="1:24" ht="57" customHeight="1">
      <c r="A28" s="200" t="s">
        <v>295</v>
      </c>
      <c r="B28" s="200" t="s">
        <v>145</v>
      </c>
      <c r="C28" s="200" t="s">
        <v>59</v>
      </c>
      <c r="D28" s="211" t="s">
        <v>62</v>
      </c>
      <c r="E28" s="200"/>
      <c r="F28" s="703" t="s">
        <v>296</v>
      </c>
      <c r="G28" s="704"/>
      <c r="H28" s="728" t="s">
        <v>648</v>
      </c>
      <c r="I28" s="205">
        <v>0</v>
      </c>
      <c r="J28" s="205"/>
      <c r="K28" s="206">
        <v>0</v>
      </c>
      <c r="L28" s="206"/>
      <c r="M28" s="276">
        <f>4*D4*1</f>
        <v>12</v>
      </c>
      <c r="N28" s="276">
        <f>8*E4*1</f>
        <v>40</v>
      </c>
      <c r="O28" s="206">
        <v>0</v>
      </c>
      <c r="P28" s="206"/>
      <c r="Q28" s="205">
        <v>5</v>
      </c>
      <c r="R28" s="217">
        <f>I28*$C$3+K28+((M28*$C$3+O28)*Q28)</f>
        <v>6000</v>
      </c>
      <c r="S28" s="217">
        <f t="shared" si="2"/>
        <v>20000</v>
      </c>
      <c r="T28" s="278">
        <f t="shared" si="0"/>
        <v>60</v>
      </c>
      <c r="U28" s="278">
        <f t="shared" si="0"/>
        <v>200</v>
      </c>
      <c r="V28" s="273" t="s">
        <v>555</v>
      </c>
      <c r="W28" s="361" t="s">
        <v>554</v>
      </c>
      <c r="X28" s="411" t="s">
        <v>355</v>
      </c>
    </row>
    <row r="29" spans="1:24" ht="51.75" customHeight="1">
      <c r="A29" s="200">
        <v>1.5</v>
      </c>
      <c r="B29" s="200" t="s">
        <v>2</v>
      </c>
      <c r="C29" s="204"/>
      <c r="D29" s="277" t="s">
        <v>63</v>
      </c>
      <c r="E29" s="204" t="s">
        <v>71</v>
      </c>
      <c r="F29" s="653" t="s">
        <v>159</v>
      </c>
      <c r="G29" s="655"/>
      <c r="H29" s="728" t="s">
        <v>648</v>
      </c>
      <c r="I29" s="205">
        <v>0</v>
      </c>
      <c r="J29" s="205"/>
      <c r="K29" s="206">
        <v>0</v>
      </c>
      <c r="L29" s="206"/>
      <c r="M29" s="205">
        <v>0</v>
      </c>
      <c r="N29" s="205"/>
      <c r="O29" s="206">
        <v>0</v>
      </c>
      <c r="P29" s="206"/>
      <c r="Q29" s="205">
        <v>0</v>
      </c>
      <c r="R29" s="206">
        <f t="shared" si="1"/>
        <v>0</v>
      </c>
      <c r="S29" s="206">
        <f t="shared" si="2"/>
        <v>0</v>
      </c>
      <c r="T29" s="205">
        <f t="shared" si="0"/>
        <v>0</v>
      </c>
      <c r="U29" s="205">
        <f t="shared" si="0"/>
        <v>0</v>
      </c>
      <c r="V29" s="274" t="s">
        <v>293</v>
      </c>
      <c r="W29" s="200" t="s">
        <v>260</v>
      </c>
      <c r="X29" s="2"/>
    </row>
    <row r="30" spans="1:23" ht="79.5" customHeight="1">
      <c r="A30" s="218"/>
      <c r="B30" s="218"/>
      <c r="C30" s="218"/>
      <c r="D30" s="219"/>
      <c r="E30" s="218"/>
      <c r="F30" s="218"/>
      <c r="G30" s="270"/>
      <c r="H30" s="270"/>
      <c r="I30" s="221"/>
      <c r="J30" s="221"/>
      <c r="K30" s="222"/>
      <c r="L30" s="222"/>
      <c r="M30" s="222"/>
      <c r="N30" s="222"/>
      <c r="O30" s="222"/>
      <c r="P30" s="222"/>
      <c r="Q30" s="223" t="s">
        <v>491</v>
      </c>
      <c r="R30" s="224">
        <f>ROUND((SUM(R23:R29)-(R28+R27)),3-(INT(LOG((SUM(R23:R29)-(R28+R27)))+1)))</f>
        <v>4200</v>
      </c>
      <c r="S30" s="352">
        <f>ROUND((SUM(S23:S29)-(S28+S27)),3-(INT(LOG((SUM(S23:S29)-(S28+S27)))+1)))</f>
        <v>21600</v>
      </c>
      <c r="T30" s="353">
        <f>ROUND((SUM(T23:T29)-(T28+T27)),3-(INT(LOG((SUM(T23:T29)-(T28+T27)))+1)))</f>
        <v>32</v>
      </c>
      <c r="U30" s="353">
        <f>ROUND((SUM(U23:U29)-(U28+U27)),3-(INT(LOG((SUM(U23:U29)-(U28+U27)))+1)))</f>
        <v>96</v>
      </c>
      <c r="V30" s="225"/>
      <c r="W30" s="218"/>
    </row>
    <row r="31" spans="1:4" ht="79.5" customHeight="1">
      <c r="A31" s="2"/>
      <c r="B31" s="2"/>
      <c r="D31" s="10"/>
    </row>
    <row r="32" ht="13.5">
      <c r="D32" s="3"/>
    </row>
    <row r="33" ht="13.5">
      <c r="D33" s="3"/>
    </row>
    <row r="34" ht="13.5">
      <c r="D34" s="3"/>
    </row>
    <row r="35" spans="3:22" ht="13.5">
      <c r="C35"/>
      <c r="D35" s="3"/>
      <c r="E35"/>
      <c r="F35"/>
      <c r="I35"/>
      <c r="J35"/>
      <c r="K35"/>
      <c r="L35"/>
      <c r="M35"/>
      <c r="N35"/>
      <c r="O35"/>
      <c r="P35"/>
      <c r="Q35"/>
      <c r="R35"/>
      <c r="S35"/>
      <c r="T35"/>
      <c r="U35"/>
      <c r="V35"/>
    </row>
    <row r="36" spans="3:22" ht="13.5">
      <c r="C36"/>
      <c r="D36" s="3"/>
      <c r="E36"/>
      <c r="F36"/>
      <c r="I36"/>
      <c r="J36"/>
      <c r="K36"/>
      <c r="L36"/>
      <c r="M36"/>
      <c r="N36"/>
      <c r="O36"/>
      <c r="P36"/>
      <c r="Q36"/>
      <c r="R36"/>
      <c r="S36"/>
      <c r="T36"/>
      <c r="U36"/>
      <c r="V36"/>
    </row>
    <row r="37" spans="3:22" ht="13.5">
      <c r="C37"/>
      <c r="D37" s="3"/>
      <c r="E37"/>
      <c r="F37"/>
      <c r="I37"/>
      <c r="J37"/>
      <c r="K37"/>
      <c r="L37"/>
      <c r="M37"/>
      <c r="N37"/>
      <c r="O37"/>
      <c r="P37"/>
      <c r="Q37"/>
      <c r="R37"/>
      <c r="S37"/>
      <c r="T37"/>
      <c r="U37"/>
      <c r="V37"/>
    </row>
    <row r="38" spans="3:22" ht="13.5">
      <c r="C38"/>
      <c r="D38" s="8"/>
      <c r="E38"/>
      <c r="F38"/>
      <c r="I38"/>
      <c r="J38"/>
      <c r="K38"/>
      <c r="L38"/>
      <c r="M38"/>
      <c r="N38"/>
      <c r="O38"/>
      <c r="P38"/>
      <c r="Q38"/>
      <c r="R38"/>
      <c r="S38"/>
      <c r="T38"/>
      <c r="U38"/>
      <c r="V38"/>
    </row>
    <row r="39" spans="3:22" ht="13.5">
      <c r="C39"/>
      <c r="D39" s="3"/>
      <c r="E39"/>
      <c r="F39"/>
      <c r="I39"/>
      <c r="J39"/>
      <c r="K39"/>
      <c r="L39"/>
      <c r="M39"/>
      <c r="N39"/>
      <c r="O39"/>
      <c r="P39"/>
      <c r="Q39"/>
      <c r="R39"/>
      <c r="S39"/>
      <c r="T39"/>
      <c r="U39"/>
      <c r="V39"/>
    </row>
    <row r="40" spans="3:22" ht="13.5">
      <c r="C40"/>
      <c r="D40" s="11"/>
      <c r="E40"/>
      <c r="F40"/>
      <c r="I40"/>
      <c r="J40"/>
      <c r="K40"/>
      <c r="L40"/>
      <c r="M40"/>
      <c r="N40"/>
      <c r="O40"/>
      <c r="P40"/>
      <c r="Q40"/>
      <c r="R40"/>
      <c r="S40"/>
      <c r="T40"/>
      <c r="U40"/>
      <c r="V40"/>
    </row>
    <row r="41" spans="3:22" ht="13.5">
      <c r="C41"/>
      <c r="D41" s="11"/>
      <c r="E41"/>
      <c r="F41"/>
      <c r="I41"/>
      <c r="J41"/>
      <c r="K41"/>
      <c r="L41"/>
      <c r="M41"/>
      <c r="N41"/>
      <c r="O41"/>
      <c r="P41"/>
      <c r="Q41"/>
      <c r="R41"/>
      <c r="S41"/>
      <c r="T41"/>
      <c r="U41"/>
      <c r="V41"/>
    </row>
    <row r="42" spans="3:22" ht="13.5">
      <c r="C42"/>
      <c r="D42" s="11"/>
      <c r="E42"/>
      <c r="F42"/>
      <c r="I42"/>
      <c r="J42"/>
      <c r="K42"/>
      <c r="L42"/>
      <c r="M42"/>
      <c r="N42"/>
      <c r="O42"/>
      <c r="P42"/>
      <c r="Q42"/>
      <c r="R42"/>
      <c r="S42"/>
      <c r="T42"/>
      <c r="U42"/>
      <c r="V42"/>
    </row>
    <row r="43" spans="3:22" ht="13.5">
      <c r="C43"/>
      <c r="D43" s="11"/>
      <c r="E43"/>
      <c r="F43"/>
      <c r="I43"/>
      <c r="J43"/>
      <c r="K43"/>
      <c r="L43"/>
      <c r="M43"/>
      <c r="N43"/>
      <c r="O43"/>
      <c r="P43"/>
      <c r="Q43"/>
      <c r="R43"/>
      <c r="S43"/>
      <c r="T43"/>
      <c r="U43"/>
      <c r="V43"/>
    </row>
    <row r="44" spans="3:22" ht="13.5">
      <c r="C44"/>
      <c r="D44" s="11"/>
      <c r="E44"/>
      <c r="F44"/>
      <c r="I44"/>
      <c r="J44"/>
      <c r="K44"/>
      <c r="L44"/>
      <c r="M44"/>
      <c r="N44"/>
      <c r="O44"/>
      <c r="P44"/>
      <c r="Q44"/>
      <c r="R44"/>
      <c r="S44"/>
      <c r="T44"/>
      <c r="U44"/>
      <c r="V44"/>
    </row>
    <row r="45" spans="3:22" ht="13.5">
      <c r="C45"/>
      <c r="D45" s="3"/>
      <c r="E45"/>
      <c r="F45"/>
      <c r="I45"/>
      <c r="J45"/>
      <c r="K45"/>
      <c r="L45"/>
      <c r="M45"/>
      <c r="N45"/>
      <c r="O45"/>
      <c r="P45"/>
      <c r="Q45"/>
      <c r="R45"/>
      <c r="S45"/>
      <c r="T45"/>
      <c r="U45"/>
      <c r="V45"/>
    </row>
    <row r="46" spans="3:22" ht="13.5">
      <c r="C46"/>
      <c r="D46" s="3"/>
      <c r="E46"/>
      <c r="F46"/>
      <c r="I46"/>
      <c r="J46"/>
      <c r="K46"/>
      <c r="L46"/>
      <c r="M46"/>
      <c r="N46"/>
      <c r="O46"/>
      <c r="P46"/>
      <c r="Q46"/>
      <c r="R46"/>
      <c r="S46"/>
      <c r="T46"/>
      <c r="U46"/>
      <c r="V46"/>
    </row>
    <row r="47" spans="3:22" ht="13.5">
      <c r="C47"/>
      <c r="D47" s="3"/>
      <c r="E47"/>
      <c r="F47"/>
      <c r="I47"/>
      <c r="J47"/>
      <c r="K47"/>
      <c r="L47"/>
      <c r="M47"/>
      <c r="N47"/>
      <c r="O47"/>
      <c r="P47"/>
      <c r="Q47"/>
      <c r="R47"/>
      <c r="S47"/>
      <c r="T47"/>
      <c r="U47"/>
      <c r="V47"/>
    </row>
    <row r="48" spans="3:22" ht="13.5">
      <c r="C48"/>
      <c r="D48" s="3"/>
      <c r="E48"/>
      <c r="F48"/>
      <c r="I48"/>
      <c r="J48"/>
      <c r="K48"/>
      <c r="L48"/>
      <c r="M48"/>
      <c r="N48"/>
      <c r="O48"/>
      <c r="P48"/>
      <c r="Q48"/>
      <c r="R48"/>
      <c r="S48"/>
      <c r="T48"/>
      <c r="U48"/>
      <c r="V48"/>
    </row>
    <row r="49" spans="3:22" ht="13.5">
      <c r="C49"/>
      <c r="D49" s="8"/>
      <c r="E49"/>
      <c r="F49"/>
      <c r="I49"/>
      <c r="J49"/>
      <c r="K49"/>
      <c r="L49"/>
      <c r="M49"/>
      <c r="N49"/>
      <c r="O49"/>
      <c r="P49"/>
      <c r="Q49"/>
      <c r="R49"/>
      <c r="S49"/>
      <c r="T49"/>
      <c r="U49"/>
      <c r="V49"/>
    </row>
    <row r="50" spans="3:22" ht="13.5">
      <c r="C50"/>
      <c r="D50" s="8"/>
      <c r="E50"/>
      <c r="F50"/>
      <c r="I50"/>
      <c r="J50"/>
      <c r="K50"/>
      <c r="L50"/>
      <c r="M50"/>
      <c r="N50"/>
      <c r="O50"/>
      <c r="P50"/>
      <c r="Q50"/>
      <c r="R50"/>
      <c r="S50"/>
      <c r="T50"/>
      <c r="U50"/>
      <c r="V50"/>
    </row>
    <row r="51" spans="3:22" ht="13.5">
      <c r="C51"/>
      <c r="D51" s="3"/>
      <c r="E51"/>
      <c r="F51"/>
      <c r="I51"/>
      <c r="J51"/>
      <c r="K51"/>
      <c r="L51"/>
      <c r="M51"/>
      <c r="N51"/>
      <c r="O51"/>
      <c r="P51"/>
      <c r="Q51"/>
      <c r="R51"/>
      <c r="S51"/>
      <c r="T51"/>
      <c r="U51"/>
      <c r="V51"/>
    </row>
    <row r="52" spans="3:22" ht="13.5">
      <c r="C52"/>
      <c r="D52" s="3"/>
      <c r="E52"/>
      <c r="F52"/>
      <c r="I52"/>
      <c r="J52"/>
      <c r="K52"/>
      <c r="L52"/>
      <c r="M52"/>
      <c r="N52"/>
      <c r="O52"/>
      <c r="P52"/>
      <c r="Q52"/>
      <c r="R52"/>
      <c r="S52"/>
      <c r="T52"/>
      <c r="U52"/>
      <c r="V52"/>
    </row>
    <row r="53" spans="3:22" ht="13.5">
      <c r="C53"/>
      <c r="D53" s="3"/>
      <c r="E53"/>
      <c r="F53"/>
      <c r="I53"/>
      <c r="J53"/>
      <c r="K53"/>
      <c r="L53"/>
      <c r="M53"/>
      <c r="N53"/>
      <c r="O53"/>
      <c r="P53"/>
      <c r="Q53"/>
      <c r="R53"/>
      <c r="S53"/>
      <c r="T53"/>
      <c r="U53"/>
      <c r="V53"/>
    </row>
    <row r="54" spans="3:22" ht="13.5">
      <c r="C54"/>
      <c r="D54" s="3"/>
      <c r="E54"/>
      <c r="F54"/>
      <c r="I54"/>
      <c r="J54"/>
      <c r="K54"/>
      <c r="L54"/>
      <c r="M54"/>
      <c r="N54"/>
      <c r="O54"/>
      <c r="P54"/>
      <c r="Q54"/>
      <c r="R54"/>
      <c r="S54"/>
      <c r="T54"/>
      <c r="U54"/>
      <c r="V54"/>
    </row>
    <row r="55" spans="3:22" ht="13.5">
      <c r="C55"/>
      <c r="D55" s="3"/>
      <c r="E55"/>
      <c r="F55"/>
      <c r="I55"/>
      <c r="J55"/>
      <c r="K55"/>
      <c r="L55"/>
      <c r="M55"/>
      <c r="N55"/>
      <c r="O55"/>
      <c r="P55"/>
      <c r="Q55"/>
      <c r="R55"/>
      <c r="S55"/>
      <c r="T55"/>
      <c r="U55"/>
      <c r="V55"/>
    </row>
    <row r="56" spans="3:22" ht="13.5">
      <c r="C56"/>
      <c r="D56" s="3"/>
      <c r="E56"/>
      <c r="F56"/>
      <c r="I56"/>
      <c r="J56"/>
      <c r="K56"/>
      <c r="L56"/>
      <c r="M56"/>
      <c r="N56"/>
      <c r="O56"/>
      <c r="P56"/>
      <c r="Q56"/>
      <c r="R56"/>
      <c r="S56"/>
      <c r="T56"/>
      <c r="U56"/>
      <c r="V56"/>
    </row>
    <row r="57" spans="3:22" ht="13.5">
      <c r="C57"/>
      <c r="D57" s="3"/>
      <c r="E57"/>
      <c r="F57"/>
      <c r="I57"/>
      <c r="J57"/>
      <c r="K57"/>
      <c r="L57"/>
      <c r="M57"/>
      <c r="N57"/>
      <c r="O57"/>
      <c r="P57"/>
      <c r="Q57"/>
      <c r="R57"/>
      <c r="S57"/>
      <c r="T57"/>
      <c r="U57"/>
      <c r="V57"/>
    </row>
    <row r="58" spans="3:22" ht="13.5">
      <c r="C58"/>
      <c r="D58" s="2"/>
      <c r="E58"/>
      <c r="F58"/>
      <c r="I58"/>
      <c r="J58"/>
      <c r="K58"/>
      <c r="L58"/>
      <c r="M58"/>
      <c r="N58"/>
      <c r="O58"/>
      <c r="P58"/>
      <c r="Q58"/>
      <c r="R58"/>
      <c r="S58"/>
      <c r="T58"/>
      <c r="U58"/>
      <c r="V58"/>
    </row>
  </sheetData>
  <sheetProtection/>
  <mergeCells count="31">
    <mergeCell ref="F26:G26"/>
    <mergeCell ref="A4:B4"/>
    <mergeCell ref="F28:G28"/>
    <mergeCell ref="A1:E1"/>
    <mergeCell ref="E19:E21"/>
    <mergeCell ref="I20:J20"/>
    <mergeCell ref="F29:G29"/>
    <mergeCell ref="F22:G22"/>
    <mergeCell ref="F23:G23"/>
    <mergeCell ref="F24:G24"/>
    <mergeCell ref="F25:G25"/>
    <mergeCell ref="F27:G27"/>
    <mergeCell ref="H19:H21"/>
    <mergeCell ref="O20:P20"/>
    <mergeCell ref="M20:N20"/>
    <mergeCell ref="A3:B3"/>
    <mergeCell ref="B6:C6"/>
    <mergeCell ref="D6:E6"/>
    <mergeCell ref="A19:A21"/>
    <mergeCell ref="B19:B21"/>
    <mergeCell ref="C19:C21"/>
    <mergeCell ref="W19:W21"/>
    <mergeCell ref="R20:S20"/>
    <mergeCell ref="T20:U20"/>
    <mergeCell ref="I19:L19"/>
    <mergeCell ref="M19:Q19"/>
    <mergeCell ref="D19:D21"/>
    <mergeCell ref="K20:L20"/>
    <mergeCell ref="F19:G21"/>
    <mergeCell ref="R19:U19"/>
    <mergeCell ref="V19:V21"/>
  </mergeCells>
  <printOptions/>
  <pageMargins left="0.7" right="0.7" top="0.75" bottom="0.75" header="0.3" footer="0.3"/>
  <pageSetup fitToHeight="1" fitToWidth="1" orientation="landscape" scale="26"/>
  <colBreaks count="1" manualBreakCount="1">
    <brk id="23" min="10" max="11" man="1"/>
  </colBreaks>
</worksheet>
</file>

<file path=xl/worksheets/sheet9.xml><?xml version="1.0" encoding="utf-8"?>
<worksheet xmlns="http://schemas.openxmlformats.org/spreadsheetml/2006/main" xmlns:r="http://schemas.openxmlformats.org/officeDocument/2006/relationships">
  <sheetPr>
    <pageSetUpPr fitToPage="1"/>
  </sheetPr>
  <dimension ref="A1:X31"/>
  <sheetViews>
    <sheetView zoomScale="75" zoomScaleNormal="75" workbookViewId="0" topLeftCell="A1">
      <selection activeCell="A13" sqref="A13"/>
    </sheetView>
  </sheetViews>
  <sheetFormatPr defaultColWidth="8.8515625" defaultRowHeight="15"/>
  <cols>
    <col min="1" max="1" width="15.7109375" style="0" customWidth="1"/>
    <col min="2" max="2" width="10.00390625" style="0" bestFit="1" customWidth="1"/>
    <col min="3" max="3" width="10.421875" style="1" customWidth="1"/>
    <col min="4" max="4" width="12.28125" style="0" customWidth="1"/>
    <col min="5" max="5" width="8.28125" style="1" customWidth="1"/>
    <col min="6" max="6" width="5.7109375" style="1" customWidth="1"/>
    <col min="7" max="7" width="94.7109375" style="0" customWidth="1"/>
    <col min="8" max="8" width="23.140625" style="0" customWidth="1"/>
    <col min="9" max="10" width="10.7109375" style="21" customWidth="1"/>
    <col min="11" max="12" width="11.28125" style="24" customWidth="1"/>
    <col min="13" max="17" width="10.7109375" style="24" customWidth="1"/>
    <col min="18" max="21" width="13.421875" style="24" customWidth="1"/>
    <col min="22" max="22" width="57.421875" style="7" customWidth="1"/>
    <col min="23" max="23" width="36.8515625" style="0" customWidth="1"/>
    <col min="24" max="24" width="38.140625" style="0" customWidth="1"/>
  </cols>
  <sheetData>
    <row r="1" spans="1:3" s="47" customFormat="1" ht="21.75" customHeight="1">
      <c r="A1" s="486" t="s">
        <v>477</v>
      </c>
      <c r="B1" s="487"/>
      <c r="C1" s="488"/>
    </row>
    <row r="2" spans="1:3" s="47" customFormat="1" ht="21.75" customHeight="1">
      <c r="A2" s="460" t="s">
        <v>346</v>
      </c>
      <c r="B2" s="461"/>
      <c r="C2" s="279">
        <f>'MS4 Stats'!B10</f>
        <v>100</v>
      </c>
    </row>
    <row r="3" spans="1:3" s="47" customFormat="1" ht="49.5" customHeight="1">
      <c r="A3" s="705" t="s">
        <v>492</v>
      </c>
      <c r="B3" s="706"/>
      <c r="C3" s="280">
        <f>'MS4 Stats'!C26</f>
        <v>10</v>
      </c>
    </row>
    <row r="4" spans="3:22" ht="21.75" customHeight="1">
      <c r="C4"/>
      <c r="D4" s="3"/>
      <c r="E4"/>
      <c r="F4"/>
      <c r="I4"/>
      <c r="J4"/>
      <c r="K4"/>
      <c r="L4"/>
      <c r="M4"/>
      <c r="N4"/>
      <c r="O4"/>
      <c r="P4"/>
      <c r="Q4"/>
      <c r="R4"/>
      <c r="S4"/>
      <c r="T4"/>
      <c r="U4"/>
      <c r="V4"/>
    </row>
    <row r="5" spans="1:22" ht="21.75" customHeight="1">
      <c r="A5" s="72"/>
      <c r="B5" s="487" t="s">
        <v>479</v>
      </c>
      <c r="C5" s="487"/>
      <c r="D5" s="487" t="s">
        <v>259</v>
      </c>
      <c r="E5" s="488"/>
      <c r="F5"/>
      <c r="I5"/>
      <c r="J5"/>
      <c r="K5"/>
      <c r="L5"/>
      <c r="M5"/>
      <c r="N5"/>
      <c r="O5"/>
      <c r="P5"/>
      <c r="Q5"/>
      <c r="R5"/>
      <c r="S5"/>
      <c r="T5"/>
      <c r="U5"/>
      <c r="V5"/>
    </row>
    <row r="6" spans="1:22" ht="21.75" customHeight="1">
      <c r="A6" s="102"/>
      <c r="B6" s="103" t="s">
        <v>304</v>
      </c>
      <c r="C6" s="103" t="s">
        <v>305</v>
      </c>
      <c r="D6" s="103" t="s">
        <v>304</v>
      </c>
      <c r="E6" s="104" t="s">
        <v>305</v>
      </c>
      <c r="F6"/>
      <c r="I6"/>
      <c r="J6"/>
      <c r="K6"/>
      <c r="L6"/>
      <c r="M6"/>
      <c r="N6"/>
      <c r="O6"/>
      <c r="P6"/>
      <c r="Q6"/>
      <c r="R6"/>
      <c r="S6"/>
      <c r="T6"/>
      <c r="U6"/>
      <c r="V6"/>
    </row>
    <row r="7" spans="1:22" ht="21.75" customHeight="1">
      <c r="A7" s="85" t="s">
        <v>63</v>
      </c>
      <c r="B7" s="86">
        <f>R20+R23+R26+R29</f>
        <v>0</v>
      </c>
      <c r="C7" s="86">
        <f>S20+S23+S26+S29</f>
        <v>0</v>
      </c>
      <c r="D7" s="232">
        <f>T20+T23+T26+T29</f>
        <v>0</v>
      </c>
      <c r="E7" s="232">
        <f>U20+U23+U26+U29</f>
        <v>0</v>
      </c>
      <c r="F7"/>
      <c r="I7"/>
      <c r="J7"/>
      <c r="K7"/>
      <c r="L7"/>
      <c r="M7"/>
      <c r="N7"/>
      <c r="O7"/>
      <c r="P7"/>
      <c r="Q7"/>
      <c r="R7"/>
      <c r="S7"/>
      <c r="T7"/>
      <c r="U7"/>
      <c r="V7"/>
    </row>
    <row r="8" spans="1:22" ht="21.75" customHeight="1">
      <c r="A8" s="90" t="s">
        <v>480</v>
      </c>
      <c r="B8" s="91">
        <f>ROUND((R18+R19+R22+R25+R28),3-(INT(LOG((R18+R19+R22+R25+R28))+1)))</f>
        <v>21200</v>
      </c>
      <c r="C8" s="323">
        <f>ROUND((S18+S19+S22+S25+S28),3-(INT(LOG((S18+S19+S22+S25+S28))+1)))</f>
        <v>38400</v>
      </c>
      <c r="D8" s="286">
        <f>ROUND((T18+T19+T22+T25+T28),3-(INT(LOG((T18+T19+T22+T25+T28))+1)))</f>
        <v>182</v>
      </c>
      <c r="E8" s="286">
        <f>ROUND((U18+U19+U22+U25+U28),3-(INT(LOG((U18+U19+U22+U25+U28))+1)))</f>
        <v>324</v>
      </c>
      <c r="F8"/>
      <c r="I8"/>
      <c r="J8"/>
      <c r="K8"/>
      <c r="L8"/>
      <c r="M8"/>
      <c r="N8"/>
      <c r="O8"/>
      <c r="P8"/>
      <c r="Q8"/>
      <c r="R8"/>
      <c r="S8"/>
      <c r="T8"/>
      <c r="U8"/>
      <c r="V8"/>
    </row>
    <row r="9" spans="1:22" ht="21.75" customHeight="1">
      <c r="A9" s="94" t="s">
        <v>62</v>
      </c>
      <c r="B9" s="95">
        <v>0</v>
      </c>
      <c r="C9" s="95">
        <v>0</v>
      </c>
      <c r="D9" s="272">
        <v>0</v>
      </c>
      <c r="E9" s="272">
        <v>0</v>
      </c>
      <c r="F9"/>
      <c r="I9"/>
      <c r="J9"/>
      <c r="K9"/>
      <c r="L9"/>
      <c r="M9"/>
      <c r="N9"/>
      <c r="O9"/>
      <c r="P9"/>
      <c r="Q9"/>
      <c r="R9"/>
      <c r="S9"/>
      <c r="T9"/>
      <c r="U9"/>
      <c r="V9"/>
    </row>
    <row r="10" spans="1:22" ht="21.75" customHeight="1">
      <c r="A10" s="98" t="s">
        <v>478</v>
      </c>
      <c r="B10" s="99">
        <f>R30</f>
        <v>21200</v>
      </c>
      <c r="C10" s="99">
        <f>S30</f>
        <v>38400</v>
      </c>
      <c r="D10" s="178">
        <f>T30</f>
        <v>182</v>
      </c>
      <c r="E10" s="178">
        <f>U30</f>
        <v>324</v>
      </c>
      <c r="F10"/>
      <c r="I10"/>
      <c r="J10"/>
      <c r="K10"/>
      <c r="L10"/>
      <c r="M10"/>
      <c r="N10"/>
      <c r="O10"/>
      <c r="P10"/>
      <c r="Q10"/>
      <c r="R10"/>
      <c r="S10"/>
      <c r="T10"/>
      <c r="U10"/>
      <c r="V10"/>
    </row>
    <row r="14" spans="1:23" ht="13.5">
      <c r="A14" s="585" t="s">
        <v>0</v>
      </c>
      <c r="B14" s="585" t="s">
        <v>29</v>
      </c>
      <c r="C14" s="586" t="s">
        <v>32</v>
      </c>
      <c r="D14" s="586" t="s">
        <v>110</v>
      </c>
      <c r="E14" s="586" t="s">
        <v>70</v>
      </c>
      <c r="F14" s="587" t="s">
        <v>21</v>
      </c>
      <c r="G14" s="588"/>
      <c r="H14" s="584" t="s">
        <v>1</v>
      </c>
      <c r="I14" s="603" t="s">
        <v>497</v>
      </c>
      <c r="J14" s="603"/>
      <c r="K14" s="603"/>
      <c r="L14" s="603"/>
      <c r="M14" s="578" t="s">
        <v>498</v>
      </c>
      <c r="N14" s="579"/>
      <c r="O14" s="579"/>
      <c r="P14" s="579"/>
      <c r="Q14" s="707" t="s">
        <v>264</v>
      </c>
      <c r="R14" s="578" t="s">
        <v>499</v>
      </c>
      <c r="S14" s="579"/>
      <c r="T14" s="579"/>
      <c r="U14" s="580"/>
      <c r="V14" s="313"/>
      <c r="W14" s="314"/>
    </row>
    <row r="15" spans="1:23" ht="94.5" customHeight="1">
      <c r="A15" s="541"/>
      <c r="B15" s="541"/>
      <c r="C15" s="544"/>
      <c r="D15" s="544"/>
      <c r="E15" s="544"/>
      <c r="F15" s="589"/>
      <c r="G15" s="590"/>
      <c r="H15" s="523"/>
      <c r="I15" s="603" t="s">
        <v>259</v>
      </c>
      <c r="J15" s="603"/>
      <c r="K15" s="531" t="s">
        <v>450</v>
      </c>
      <c r="L15" s="531"/>
      <c r="M15" s="602" t="s">
        <v>321</v>
      </c>
      <c r="N15" s="602"/>
      <c r="O15" s="602" t="s">
        <v>450</v>
      </c>
      <c r="P15" s="602"/>
      <c r="Q15" s="641"/>
      <c r="R15" s="696" t="s">
        <v>326</v>
      </c>
      <c r="S15" s="697"/>
      <c r="T15" s="698" t="s">
        <v>472</v>
      </c>
      <c r="U15" s="699"/>
      <c r="V15" s="310" t="s">
        <v>262</v>
      </c>
      <c r="W15" s="303" t="s">
        <v>261</v>
      </c>
    </row>
    <row r="16" spans="1:23" ht="20.25" customHeight="1">
      <c r="A16" s="542"/>
      <c r="B16" s="542"/>
      <c r="C16" s="545"/>
      <c r="D16" s="545"/>
      <c r="E16" s="545"/>
      <c r="F16" s="591"/>
      <c r="G16" s="592"/>
      <c r="H16" s="524"/>
      <c r="I16" s="300" t="s">
        <v>304</v>
      </c>
      <c r="J16" s="300" t="s">
        <v>305</v>
      </c>
      <c r="K16" s="301" t="s">
        <v>304</v>
      </c>
      <c r="L16" s="301" t="s">
        <v>305</v>
      </c>
      <c r="M16" s="302" t="s">
        <v>304</v>
      </c>
      <c r="N16" s="302" t="s">
        <v>305</v>
      </c>
      <c r="O16" s="302" t="s">
        <v>304</v>
      </c>
      <c r="P16" s="302" t="s">
        <v>305</v>
      </c>
      <c r="Q16" s="642"/>
      <c r="R16" s="302" t="s">
        <v>304</v>
      </c>
      <c r="S16" s="302" t="s">
        <v>305</v>
      </c>
      <c r="T16" s="302" t="s">
        <v>304</v>
      </c>
      <c r="U16" s="302" t="s">
        <v>305</v>
      </c>
      <c r="V16" s="310"/>
      <c r="W16" s="303"/>
    </row>
    <row r="17" spans="1:23" ht="54" customHeight="1">
      <c r="A17" s="190">
        <v>1</v>
      </c>
      <c r="B17" s="281"/>
      <c r="C17" s="282"/>
      <c r="D17" s="282"/>
      <c r="E17" s="282"/>
      <c r="F17" s="708" t="s">
        <v>163</v>
      </c>
      <c r="G17" s="709"/>
      <c r="H17" s="239"/>
      <c r="I17" s="192"/>
      <c r="J17" s="192"/>
      <c r="K17" s="193"/>
      <c r="L17" s="193"/>
      <c r="M17" s="193"/>
      <c r="N17" s="193"/>
      <c r="O17" s="193"/>
      <c r="P17" s="193"/>
      <c r="Q17" s="193"/>
      <c r="R17" s="193"/>
      <c r="S17" s="193"/>
      <c r="T17" s="193"/>
      <c r="U17" s="193"/>
      <c r="V17" s="194"/>
      <c r="W17" s="195"/>
    </row>
    <row r="18" spans="1:24" ht="96.75" customHeight="1">
      <c r="A18" s="200">
        <v>1.1</v>
      </c>
      <c r="B18" s="209" t="s">
        <v>160</v>
      </c>
      <c r="C18" s="200" t="s">
        <v>77</v>
      </c>
      <c r="D18" s="201" t="s">
        <v>61</v>
      </c>
      <c r="E18" s="200"/>
      <c r="F18" s="604" t="s">
        <v>356</v>
      </c>
      <c r="G18" s="605"/>
      <c r="H18" s="204" t="s">
        <v>22</v>
      </c>
      <c r="I18" s="205">
        <v>32</v>
      </c>
      <c r="J18" s="205">
        <v>40</v>
      </c>
      <c r="K18" s="206">
        <v>1000</v>
      </c>
      <c r="L18" s="206">
        <v>2000</v>
      </c>
      <c r="M18" s="205">
        <v>0</v>
      </c>
      <c r="N18" s="205"/>
      <c r="O18" s="205">
        <v>0</v>
      </c>
      <c r="P18" s="205"/>
      <c r="Q18" s="205">
        <v>0</v>
      </c>
      <c r="R18" s="206">
        <f>I18*$C$2+K18+((M18*$C$2+O18)*$Q18)</f>
        <v>4200</v>
      </c>
      <c r="S18" s="206">
        <f>J18*$C$2+L18+((N18*$C$2+P18)*$Q18)</f>
        <v>6000</v>
      </c>
      <c r="T18" s="205">
        <f aca="true" t="shared" si="0" ref="T18:U20">I18+(M18*5)</f>
        <v>32</v>
      </c>
      <c r="U18" s="205">
        <f t="shared" si="0"/>
        <v>40</v>
      </c>
      <c r="V18" s="207" t="s">
        <v>358</v>
      </c>
      <c r="W18" s="207" t="s">
        <v>263</v>
      </c>
      <c r="X18" s="2"/>
    </row>
    <row r="19" spans="1:24" ht="96.75" customHeight="1">
      <c r="A19" s="200">
        <v>1.2</v>
      </c>
      <c r="B19" s="200" t="s">
        <v>2</v>
      </c>
      <c r="C19" s="200" t="s">
        <v>77</v>
      </c>
      <c r="D19" s="201" t="s">
        <v>61</v>
      </c>
      <c r="E19" s="200"/>
      <c r="F19" s="604" t="s">
        <v>233</v>
      </c>
      <c r="G19" s="605"/>
      <c r="H19" s="200" t="s">
        <v>23</v>
      </c>
      <c r="I19" s="205">
        <v>8</v>
      </c>
      <c r="J19" s="205">
        <v>40</v>
      </c>
      <c r="K19" s="413">
        <v>1000</v>
      </c>
      <c r="L19" s="398">
        <v>2000</v>
      </c>
      <c r="M19" s="205">
        <v>0</v>
      </c>
      <c r="N19" s="205"/>
      <c r="O19" s="413">
        <v>0</v>
      </c>
      <c r="P19" s="413"/>
      <c r="Q19" s="205">
        <v>0</v>
      </c>
      <c r="R19" s="206">
        <f>I19*$C$2+K19+((M19*$C$2+O19)*Q19)</f>
        <v>1800</v>
      </c>
      <c r="S19" s="206">
        <f>J19*$C$2+L19+((N19*$C$2+P19)*$Q19)</f>
        <v>6000</v>
      </c>
      <c r="T19" s="205">
        <f t="shared" si="0"/>
        <v>8</v>
      </c>
      <c r="U19" s="205">
        <f t="shared" si="0"/>
        <v>40</v>
      </c>
      <c r="V19" s="283" t="s">
        <v>559</v>
      </c>
      <c r="W19" s="208" t="s">
        <v>469</v>
      </c>
      <c r="X19" s="2"/>
    </row>
    <row r="20" spans="1:24" ht="96.75" customHeight="1">
      <c r="A20" s="200">
        <v>1.3</v>
      </c>
      <c r="B20" s="200" t="s">
        <v>2</v>
      </c>
      <c r="C20" s="204"/>
      <c r="D20" s="277" t="s">
        <v>63</v>
      </c>
      <c r="E20" s="204" t="s">
        <v>71</v>
      </c>
      <c r="F20" s="663" t="s">
        <v>162</v>
      </c>
      <c r="G20" s="665"/>
      <c r="H20" s="337" t="s">
        <v>24</v>
      </c>
      <c r="I20" s="205">
        <v>0</v>
      </c>
      <c r="J20" s="205"/>
      <c r="K20" s="206">
        <v>0</v>
      </c>
      <c r="L20" s="206"/>
      <c r="M20" s="205">
        <v>0</v>
      </c>
      <c r="N20" s="205"/>
      <c r="O20" s="205">
        <v>0</v>
      </c>
      <c r="P20" s="205"/>
      <c r="Q20" s="205">
        <v>0</v>
      </c>
      <c r="R20" s="206">
        <f>I20*$C$2+K20+((M20*$C$2+O20)*Q20)</f>
        <v>0</v>
      </c>
      <c r="S20" s="206">
        <f>J20*$C$2+L20+((N20*$C$2+P20)*$Q20)</f>
        <v>0</v>
      </c>
      <c r="T20" s="205">
        <f t="shared" si="0"/>
        <v>0</v>
      </c>
      <c r="U20" s="205">
        <f t="shared" si="0"/>
        <v>0</v>
      </c>
      <c r="V20" s="207" t="s">
        <v>293</v>
      </c>
      <c r="W20" s="207" t="s">
        <v>260</v>
      </c>
      <c r="X20" s="2"/>
    </row>
    <row r="21" spans="1:24" ht="52.5" customHeight="1">
      <c r="A21" s="190">
        <v>2</v>
      </c>
      <c r="B21" s="191"/>
      <c r="C21" s="191"/>
      <c r="D21" s="284"/>
      <c r="E21" s="195"/>
      <c r="F21" s="285" t="s">
        <v>164</v>
      </c>
      <c r="G21" s="195"/>
      <c r="H21" s="195"/>
      <c r="I21" s="192"/>
      <c r="J21" s="192"/>
      <c r="K21" s="193"/>
      <c r="L21" s="193"/>
      <c r="M21" s="193"/>
      <c r="N21" s="193"/>
      <c r="O21" s="193"/>
      <c r="P21" s="193"/>
      <c r="Q21" s="193"/>
      <c r="R21" s="193"/>
      <c r="S21" s="193"/>
      <c r="T21" s="193"/>
      <c r="U21" s="193"/>
      <c r="V21" s="194"/>
      <c r="W21" s="195"/>
      <c r="X21" s="2"/>
    </row>
    <row r="22" spans="1:24" ht="96.75" customHeight="1">
      <c r="A22" s="200">
        <v>2.1</v>
      </c>
      <c r="B22" s="207" t="s">
        <v>160</v>
      </c>
      <c r="C22" s="204" t="s">
        <v>103</v>
      </c>
      <c r="D22" s="203" t="s">
        <v>61</v>
      </c>
      <c r="E22" s="204"/>
      <c r="F22" s="604" t="s">
        <v>165</v>
      </c>
      <c r="G22" s="605"/>
      <c r="H22" s="451" t="s">
        <v>25</v>
      </c>
      <c r="I22" s="205">
        <v>62</v>
      </c>
      <c r="J22" s="205">
        <v>116</v>
      </c>
      <c r="K22" s="206">
        <v>1000</v>
      </c>
      <c r="L22" s="206">
        <v>2000</v>
      </c>
      <c r="M22" s="205">
        <v>0</v>
      </c>
      <c r="N22" s="205"/>
      <c r="O22" s="205">
        <v>0</v>
      </c>
      <c r="P22" s="205"/>
      <c r="Q22" s="205">
        <v>0</v>
      </c>
      <c r="R22" s="206">
        <f>I22*$C$2+K22+((M22*$C$2+O22)*Q22)</f>
        <v>7200</v>
      </c>
      <c r="S22" s="206">
        <f>J22*$C$2+L22+((N22*$C$2+P22)*$Q22)</f>
        <v>13600</v>
      </c>
      <c r="T22" s="205">
        <f>I22+(M22*5)</f>
        <v>62</v>
      </c>
      <c r="U22" s="205">
        <f>J22+(N22*5)</f>
        <v>116</v>
      </c>
      <c r="V22" s="207" t="s">
        <v>359</v>
      </c>
      <c r="W22" s="207" t="s">
        <v>272</v>
      </c>
      <c r="X22" s="2"/>
    </row>
    <row r="23" spans="1:24" ht="96.75" customHeight="1">
      <c r="A23" s="200">
        <v>2.2</v>
      </c>
      <c r="B23" s="204" t="s">
        <v>2</v>
      </c>
      <c r="C23" s="204"/>
      <c r="D23" s="277" t="s">
        <v>63</v>
      </c>
      <c r="E23" s="204" t="s">
        <v>71</v>
      </c>
      <c r="F23" s="663" t="s">
        <v>166</v>
      </c>
      <c r="G23" s="665"/>
      <c r="H23" s="451" t="s">
        <v>25</v>
      </c>
      <c r="I23" s="205">
        <v>0</v>
      </c>
      <c r="J23" s="205"/>
      <c r="K23" s="206">
        <v>0</v>
      </c>
      <c r="L23" s="206"/>
      <c r="M23" s="205">
        <v>0</v>
      </c>
      <c r="N23" s="205"/>
      <c r="O23" s="205">
        <v>0</v>
      </c>
      <c r="P23" s="205"/>
      <c r="Q23" s="205">
        <v>0</v>
      </c>
      <c r="R23" s="206">
        <f>I23*$C$2+K23+((M23*$C$2+O23)*Q23)</f>
        <v>0</v>
      </c>
      <c r="S23" s="206">
        <f>J23*$C$2+L23+((N23*$C$2+P23)*$Q23)</f>
        <v>0</v>
      </c>
      <c r="T23" s="205">
        <f>I23+(M23*5)</f>
        <v>0</v>
      </c>
      <c r="U23" s="205">
        <f>J23+(N23*5)</f>
        <v>0</v>
      </c>
      <c r="V23" s="207" t="s">
        <v>293</v>
      </c>
      <c r="W23" s="204" t="s">
        <v>260</v>
      </c>
      <c r="X23" s="2"/>
    </row>
    <row r="24" spans="1:24" ht="48.75" customHeight="1">
      <c r="A24" s="190">
        <v>3</v>
      </c>
      <c r="B24" s="191"/>
      <c r="C24" s="191"/>
      <c r="D24" s="284"/>
      <c r="E24" s="195"/>
      <c r="F24" s="285" t="s">
        <v>292</v>
      </c>
      <c r="G24" s="195"/>
      <c r="H24" s="195"/>
      <c r="I24" s="192"/>
      <c r="J24" s="192"/>
      <c r="K24" s="193"/>
      <c r="L24" s="193"/>
      <c r="M24" s="193"/>
      <c r="N24" s="193"/>
      <c r="O24" s="193"/>
      <c r="P24" s="193"/>
      <c r="Q24" s="193"/>
      <c r="R24" s="193"/>
      <c r="S24" s="193"/>
      <c r="T24" s="193"/>
      <c r="U24" s="193"/>
      <c r="V24" s="194"/>
      <c r="W24" s="195"/>
      <c r="X24" s="2"/>
    </row>
    <row r="25" spans="1:24" ht="96.75" customHeight="1">
      <c r="A25" s="200">
        <v>3.1</v>
      </c>
      <c r="B25" s="207" t="s">
        <v>160</v>
      </c>
      <c r="C25" s="204" t="s">
        <v>167</v>
      </c>
      <c r="D25" s="201" t="s">
        <v>61</v>
      </c>
      <c r="E25" s="204"/>
      <c r="F25" s="604" t="s">
        <v>232</v>
      </c>
      <c r="G25" s="605"/>
      <c r="H25" s="451" t="s">
        <v>649</v>
      </c>
      <c r="I25" s="205">
        <v>0</v>
      </c>
      <c r="J25" s="205"/>
      <c r="K25" s="206">
        <v>0</v>
      </c>
      <c r="L25" s="206"/>
      <c r="M25" s="205">
        <v>0</v>
      </c>
      <c r="N25" s="205"/>
      <c r="O25" s="205">
        <v>0</v>
      </c>
      <c r="P25" s="205"/>
      <c r="Q25" s="205">
        <v>0</v>
      </c>
      <c r="R25" s="206">
        <f>I25*$C$2+K25+((M25*$C$2+O25)*Q25)</f>
        <v>0</v>
      </c>
      <c r="S25" s="206">
        <f>J25*$C$2+L25+((N25*$C$2+P25)*$Q25)</f>
        <v>0</v>
      </c>
      <c r="T25" s="205">
        <f>I25+(M25*5)</f>
        <v>0</v>
      </c>
      <c r="U25" s="205">
        <f>J25+(N25*5)</f>
        <v>0</v>
      </c>
      <c r="V25" s="207" t="s">
        <v>347</v>
      </c>
      <c r="W25" s="207" t="s">
        <v>273</v>
      </c>
      <c r="X25" s="2"/>
    </row>
    <row r="26" spans="1:23" ht="96.75" customHeight="1">
      <c r="A26" s="200">
        <v>3.2</v>
      </c>
      <c r="B26" s="200" t="s">
        <v>2</v>
      </c>
      <c r="C26" s="204"/>
      <c r="D26" s="260" t="s">
        <v>63</v>
      </c>
      <c r="E26" s="204" t="s">
        <v>71</v>
      </c>
      <c r="F26" s="663" t="s">
        <v>166</v>
      </c>
      <c r="G26" s="665"/>
      <c r="H26" s="451" t="s">
        <v>649</v>
      </c>
      <c r="I26" s="205">
        <v>0</v>
      </c>
      <c r="J26" s="205"/>
      <c r="K26" s="206">
        <v>0</v>
      </c>
      <c r="L26" s="206"/>
      <c r="M26" s="205">
        <v>0</v>
      </c>
      <c r="N26" s="205"/>
      <c r="O26" s="205">
        <v>0</v>
      </c>
      <c r="P26" s="205"/>
      <c r="Q26" s="205">
        <v>0</v>
      </c>
      <c r="R26" s="206">
        <f>I26*$C$2+K26+((M26*$C$2+O26)*Q26)</f>
        <v>0</v>
      </c>
      <c r="S26" s="206">
        <f>J26*$C$2+L26+((N26*$C$2+P26)*$Q26)</f>
        <v>0</v>
      </c>
      <c r="T26" s="205">
        <f>I26+(M26*5)</f>
        <v>0</v>
      </c>
      <c r="U26" s="205">
        <f>J26+(N26*5)</f>
        <v>0</v>
      </c>
      <c r="V26" s="207" t="s">
        <v>293</v>
      </c>
      <c r="W26" s="204" t="s">
        <v>260</v>
      </c>
    </row>
    <row r="27" spans="1:23" ht="36.75" customHeight="1">
      <c r="A27" s="729">
        <v>4</v>
      </c>
      <c r="B27" s="191"/>
      <c r="C27" s="191"/>
      <c r="D27" s="191"/>
      <c r="E27" s="195"/>
      <c r="F27" s="285" t="s">
        <v>291</v>
      </c>
      <c r="G27" s="195"/>
      <c r="H27" s="195"/>
      <c r="I27" s="192"/>
      <c r="J27" s="192"/>
      <c r="K27" s="193"/>
      <c r="L27" s="193"/>
      <c r="M27" s="193"/>
      <c r="N27" s="193"/>
      <c r="O27" s="193"/>
      <c r="P27" s="193"/>
      <c r="Q27" s="193"/>
      <c r="R27" s="193"/>
      <c r="S27" s="193"/>
      <c r="T27" s="193"/>
      <c r="U27" s="193"/>
      <c r="V27" s="194"/>
      <c r="W27" s="195"/>
    </row>
    <row r="28" spans="1:24" ht="111.75" customHeight="1">
      <c r="A28" s="337">
        <v>4.1</v>
      </c>
      <c r="B28" s="200" t="s">
        <v>145</v>
      </c>
      <c r="C28" s="204" t="s">
        <v>167</v>
      </c>
      <c r="D28" s="201" t="s">
        <v>61</v>
      </c>
      <c r="E28" s="204"/>
      <c r="F28" s="604" t="s">
        <v>168</v>
      </c>
      <c r="G28" s="605"/>
      <c r="H28" s="451" t="s">
        <v>650</v>
      </c>
      <c r="I28" s="205">
        <f>8*C3</f>
        <v>80</v>
      </c>
      <c r="J28" s="205">
        <f>8*C3+3*16</f>
        <v>128</v>
      </c>
      <c r="K28" s="206">
        <v>0</v>
      </c>
      <c r="L28" s="206"/>
      <c r="M28" s="205">
        <v>0</v>
      </c>
      <c r="N28" s="205"/>
      <c r="O28" s="205">
        <v>0</v>
      </c>
      <c r="P28" s="205"/>
      <c r="Q28" s="205">
        <v>0</v>
      </c>
      <c r="R28" s="206">
        <f>I28*$C$2+K28+((M28*$C$2+O28)*Q28)</f>
        <v>8000</v>
      </c>
      <c r="S28" s="206">
        <f>J28*$C$2+L28+((N28*$C$2+P28)*$Q28)</f>
        <v>12800</v>
      </c>
      <c r="T28" s="205">
        <f>I28+(M28*5)</f>
        <v>80</v>
      </c>
      <c r="U28" s="205">
        <f>J28+(N28*5)</f>
        <v>128</v>
      </c>
      <c r="V28" s="207" t="s">
        <v>558</v>
      </c>
      <c r="W28" s="207" t="s">
        <v>274</v>
      </c>
      <c r="X28" t="s">
        <v>557</v>
      </c>
    </row>
    <row r="29" spans="1:23" ht="96.75" customHeight="1">
      <c r="A29" s="337">
        <v>4.2</v>
      </c>
      <c r="B29" s="200" t="s">
        <v>2</v>
      </c>
      <c r="C29" s="207" t="s">
        <v>171</v>
      </c>
      <c r="D29" s="260" t="s">
        <v>63</v>
      </c>
      <c r="E29" s="204" t="s">
        <v>71</v>
      </c>
      <c r="F29" s="663" t="s">
        <v>169</v>
      </c>
      <c r="G29" s="665"/>
      <c r="H29" s="451" t="s">
        <v>170</v>
      </c>
      <c r="I29" s="205">
        <v>0</v>
      </c>
      <c r="J29" s="205"/>
      <c r="K29" s="206">
        <v>0</v>
      </c>
      <c r="L29" s="206"/>
      <c r="M29" s="205">
        <v>0</v>
      </c>
      <c r="N29" s="205"/>
      <c r="O29" s="205">
        <v>0</v>
      </c>
      <c r="P29" s="205"/>
      <c r="Q29" s="205">
        <v>0</v>
      </c>
      <c r="R29" s="206">
        <f>I29*$C$2+K29+((M29*$C$2+O29)*Q29)</f>
        <v>0</v>
      </c>
      <c r="S29" s="206">
        <f>J29*$C$2+L29+((N29*$C$2+P29)*$Q29)</f>
        <v>0</v>
      </c>
      <c r="T29" s="205">
        <f>I29+(M29*5)</f>
        <v>0</v>
      </c>
      <c r="U29" s="205">
        <f>J29+(N29*5)</f>
        <v>0</v>
      </c>
      <c r="V29" s="207" t="s">
        <v>293</v>
      </c>
      <c r="W29" s="204" t="s">
        <v>260</v>
      </c>
    </row>
    <row r="30" spans="1:23" ht="96.75" customHeight="1">
      <c r="A30" s="218"/>
      <c r="B30" s="218"/>
      <c r="C30" s="218"/>
      <c r="D30" s="218"/>
      <c r="E30" s="218"/>
      <c r="F30" s="218"/>
      <c r="G30" s="218"/>
      <c r="H30" s="218"/>
      <c r="I30" s="221"/>
      <c r="J30" s="221"/>
      <c r="K30" s="222"/>
      <c r="L30" s="222"/>
      <c r="M30" s="222"/>
      <c r="N30" s="222"/>
      <c r="O30" s="222"/>
      <c r="P30" s="222"/>
      <c r="Q30" s="223" t="s">
        <v>332</v>
      </c>
      <c r="R30" s="224">
        <f>ROUND((SUM(R18:R29)),3-(INT(LOG((SUM(R18:R29))+1))))</f>
        <v>21200</v>
      </c>
      <c r="S30" s="352">
        <f>ROUND((SUM(S18:S29)),3-(INT(LOG((SUM(S18:S29))+1))))</f>
        <v>38400</v>
      </c>
      <c r="T30" s="353">
        <f>ROUND((SUM(T18:T29)),3-(INT(LOG((SUM(T18:T29))+1))))</f>
        <v>182</v>
      </c>
      <c r="U30" s="353">
        <f>ROUND((SUM(U18:U29)),3-(INT(LOG((SUM(U18:U29))+1))))</f>
        <v>324</v>
      </c>
      <c r="V30" s="225"/>
      <c r="W30" s="218"/>
    </row>
    <row r="31" spans="1:4" ht="13.5">
      <c r="A31" s="2"/>
      <c r="B31" s="2"/>
      <c r="D31" s="3"/>
    </row>
  </sheetData>
  <sheetProtection/>
  <mergeCells count="32">
    <mergeCell ref="F28:G28"/>
    <mergeCell ref="F29:G29"/>
    <mergeCell ref="F19:G19"/>
    <mergeCell ref="F20:G20"/>
    <mergeCell ref="F22:G22"/>
    <mergeCell ref="F23:G23"/>
    <mergeCell ref="F25:G25"/>
    <mergeCell ref="F26:G26"/>
    <mergeCell ref="A1:C1"/>
    <mergeCell ref="A2:B2"/>
    <mergeCell ref="B5:C5"/>
    <mergeCell ref="D5:E5"/>
    <mergeCell ref="A3:B3"/>
    <mergeCell ref="F18:G18"/>
    <mergeCell ref="F17:G17"/>
    <mergeCell ref="I14:L14"/>
    <mergeCell ref="I15:J15"/>
    <mergeCell ref="K15:L15"/>
    <mergeCell ref="M15:N15"/>
    <mergeCell ref="O15:P15"/>
    <mergeCell ref="H14:H16"/>
    <mergeCell ref="M14:P14"/>
    <mergeCell ref="Q14:Q16"/>
    <mergeCell ref="R14:U14"/>
    <mergeCell ref="R15:S15"/>
    <mergeCell ref="T15:U15"/>
    <mergeCell ref="A14:A16"/>
    <mergeCell ref="B14:B16"/>
    <mergeCell ref="C14:C16"/>
    <mergeCell ref="D14:D16"/>
    <mergeCell ref="E14:E16"/>
    <mergeCell ref="F14:G16"/>
  </mergeCells>
  <printOptions/>
  <pageMargins left="0.7" right="0.7" top="0.75" bottom="0.75" header="0.3" footer="0.3"/>
  <pageSetup fitToHeight="1" fitToWidth="1" orientation="landscape" scale="26"/>
  <colBreaks count="1" manualBreakCount="1">
    <brk id="23" min="9" max="10"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dc:creator>
  <cp:keywords/>
  <dc:description/>
  <cp:lastModifiedBy>Emily DiFranco</cp:lastModifiedBy>
  <cp:lastPrinted>2016-01-11T15:35:32Z</cp:lastPrinted>
  <dcterms:created xsi:type="dcterms:W3CDTF">2014-12-03T21:02:53Z</dcterms:created>
  <dcterms:modified xsi:type="dcterms:W3CDTF">2016-01-18T12:01:53Z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