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36" yWindow="64816" windowWidth="25600" windowHeight="10800" tabRatio="911" activeTab="0"/>
  </bookViews>
  <sheets>
    <sheet name="Overview of Total Costs" sheetId="1" r:id="rId1"/>
    <sheet name="Public Education" sheetId="2" r:id="rId2"/>
    <sheet name="Public Participation" sheetId="3" r:id="rId3"/>
    <sheet name="Good Housekeeping" sheetId="4" r:id="rId4"/>
    <sheet name="NOI" sheetId="5" r:id="rId5"/>
    <sheet name="SWMP" sheetId="6" r:id="rId6"/>
    <sheet name="IDDE" sheetId="7" r:id="rId7"/>
    <sheet name="Construction Site Control" sheetId="8" r:id="rId8"/>
    <sheet name="Post Construction Site Control" sheetId="9" r:id="rId9"/>
    <sheet name="Annual Report" sheetId="10" r:id="rId10"/>
    <sheet name="Miscellaneous" sheetId="11" r:id="rId11"/>
    <sheet name="MS4 Stats" sheetId="12" r:id="rId12"/>
    <sheet name="WQ Analysis Costs" sheetId="13" r:id="rId13"/>
    <sheet name="Cost Scaling Considerations" sheetId="14" r:id="rId14"/>
  </sheets>
  <externalReferences>
    <externalReference r:id="rId17"/>
  </externalReferences>
  <definedNames/>
  <calcPr fullCalcOnLoad="1"/>
</workbook>
</file>

<file path=xl/sharedStrings.xml><?xml version="1.0" encoding="utf-8"?>
<sst xmlns="http://schemas.openxmlformats.org/spreadsheetml/2006/main" count="1516" uniqueCount="641">
  <si>
    <t>No.</t>
  </si>
  <si>
    <t>Reference</t>
  </si>
  <si>
    <t>Admin</t>
  </si>
  <si>
    <t>Illicit Discharge Detection and Elimination Requirement</t>
  </si>
  <si>
    <t>2.3.4.3</t>
  </si>
  <si>
    <t>2.3.4.4 b</t>
  </si>
  <si>
    <t>2.3.4.4 c</t>
  </si>
  <si>
    <t>2.3.4.6</t>
  </si>
  <si>
    <t>2.3.4.6 a i</t>
  </si>
  <si>
    <t>2.3.4.6 a ii</t>
  </si>
  <si>
    <t>2.3.4.6 a iii</t>
  </si>
  <si>
    <t>2.3.4.6 b</t>
  </si>
  <si>
    <t>2.3.4.6 c</t>
  </si>
  <si>
    <t>2.3.4.7</t>
  </si>
  <si>
    <t>2.3.4.7 b</t>
  </si>
  <si>
    <t>*In a minimum of 80% of the MS4 area serviced by Problem Catchments within 3 years and 100% within 5 years</t>
  </si>
  <si>
    <t>*For all catchments where  sampling indicates sewer input within 5 years </t>
  </si>
  <si>
    <t>*In 40% of all area served by  all MS4 catchments within 5 years and in 100% of 4 area in 10 years</t>
  </si>
  <si>
    <t>2.3.4.8 c iii</t>
  </si>
  <si>
    <t>2.3.4.10</t>
  </si>
  <si>
    <t>Construction Site Runoff Control Requirement</t>
  </si>
  <si>
    <t>Post Construction Site Runoff Control Requirement</t>
  </si>
  <si>
    <t>2.3.6 a ii</t>
  </si>
  <si>
    <t>2.3.6 b</t>
  </si>
  <si>
    <t>2.3.6 c</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</si>
  <si>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</si>
  <si>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</si>
  <si>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</si>
  <si>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</si>
  <si>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</si>
  <si>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</si>
  <si>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</si>
  <si>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</si>
  <si>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</si>
  <si>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</si>
  <si>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</si>
  <si>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</si>
  <si>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</si>
  <si>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</si>
  <si>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</si>
  <si>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</si>
  <si>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</si>
  <si>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</si>
  <si>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</si>
  <si>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</si>
  <si>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</si>
  <si>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</si>
  <si>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</si>
  <si>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</si>
  <si>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</si>
  <si>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</si>
  <si>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</si>
  <si>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</si>
  <si>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</si>
  <si>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</si>
  <si>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</si>
  <si>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</si>
  <si>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</si>
  <si>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</si>
  <si>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</si>
  <si>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</si>
  <si>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</si>
  <si>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</si>
  <si>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</si>
  <si>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</si>
  <si>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</si>
  <si>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</si>
  <si>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</si>
  <si>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</si>
  <si>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</si>
  <si>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</si>
  <si>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</si>
  <si>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</si>
  <si>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</si>
  <si>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</si>
  <si>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</si>
  <si>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</si>
  <si>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</si>
  <si>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</si>
  <si>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</si>
  <si>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</si>
  <si>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</si>
  <si>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</si>
  <si>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</si>
  <si>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</si>
  <si>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</si>
  <si>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</si>
  <si>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</si>
  <si>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</si>
  <si>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</si>
  <si>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</si>
  <si>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</si>
  <si>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</si>
  <si>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</si>
  <si>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</si>
  <si>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</si>
  <si>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</si>
  <si>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</si>
  <si>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</si>
  <si>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</si>
  <si>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</si>
  <si>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</si>
  <si>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</si>
  <si>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</si>
  <si>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</si>
  <si>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</si>
  <si>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</si>
  <si>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</si>
  <si>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</si>
  <si>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</si>
  <si>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</si>
  <si>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</si>
  <si>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</si>
  <si>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</si>
  <si>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</si>
  <si>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</si>
  <si>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</si>
  <si>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</si>
  <si>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</si>
  <si>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</si>
  <si>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</si>
  <si>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</si>
  <si>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</si>
  <si>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</si>
  <si>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</si>
  <si>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</si>
  <si>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</si>
  <si>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</si>
  <si>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</si>
  <si>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</si>
  <si>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</si>
  <si>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</si>
  <si>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</si>
  <si>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</si>
  <si>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</si>
  <si>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</si>
  <si>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</si>
  <si>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</si>
  <si>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</si>
  <si>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</si>
  <si>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</si>
  <si>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</si>
  <si>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</si>
  <si>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</si>
  <si>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</si>
  <si>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</si>
  <si>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</si>
  <si>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</si>
  <si>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</si>
  <si>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</si>
  <si>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</si>
  <si>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</si>
  <si>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</si>
  <si>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</si>
  <si>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</si>
  <si>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</si>
  <si>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</si>
  <si>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</si>
  <si>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</si>
  <si>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</si>
  <si>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</si>
  <si>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</si>
  <si>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</si>
  <si>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</si>
  <si>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</si>
  <si>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</si>
  <si>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</si>
  <si>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</si>
  <si>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</si>
  <si>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</si>
  <si>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</si>
  <si>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</si>
  <si>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</si>
  <si>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</si>
  <si>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</si>
  <si>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</si>
  <si>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</si>
  <si>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</si>
  <si>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</si>
  <si>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</si>
  <si>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</si>
  <si>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</si>
  <si>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</si>
  <si>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</si>
  <si>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</si>
  <si>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</si>
  <si>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</si>
  <si>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</si>
  <si>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</si>
  <si>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</si>
  <si>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</si>
  <si>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</si>
  <si>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</si>
  <si>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</si>
  <si>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</si>
  <si>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</si>
  <si>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</si>
  <si>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</si>
  <si>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</si>
  <si>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</si>
  <si>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</si>
  <si>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</si>
  <si>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</si>
  <si>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</si>
  <si>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</si>
  <si>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</si>
  <si>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</si>
  <si>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</si>
  <si>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</si>
  <si>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</si>
  <si>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</si>
  <si>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</si>
  <si>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</si>
  <si>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</si>
  <si>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</si>
  <si>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</si>
  <si>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</si>
  <si>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</si>
  <si>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</si>
  <si>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</si>
  <si>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</si>
  <si>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</si>
  <si>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</si>
  <si>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</si>
  <si>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</si>
  <si>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</si>
  <si>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</si>
  <si>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</si>
  <si>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</si>
  <si>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</si>
  <si>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</si>
  <si>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</si>
  <si>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</si>
  <si>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</si>
  <si>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</si>
  <si>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</si>
  <si>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</si>
  <si>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</si>
  <si>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</si>
  <si>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</si>
  <si>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</si>
  <si>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</si>
  <si>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</si>
  <si>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</si>
  <si>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</si>
  <si>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</si>
  <si>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</si>
  <si>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</si>
  <si>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</si>
  <si>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</si>
  <si>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</si>
  <si>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</si>
  <si>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</si>
  <si>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</si>
  <si>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</si>
  <si>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</si>
  <si>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</si>
  <si>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</si>
  <si>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</si>
  <si>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</si>
  <si>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</si>
  <si>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</si>
  <si>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</si>
  <si>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</si>
  <si>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</si>
  <si>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</si>
  <si>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</si>
  <si>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</si>
  <si>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</si>
  <si>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</si>
  <si>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</si>
  <si>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</si>
  <si>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</si>
  <si>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</si>
  <si>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</si>
  <si>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</si>
  <si>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</si>
  <si>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</si>
  <si>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</si>
  <si>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</si>
  <si>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</si>
  <si>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</si>
  <si>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</si>
  <si>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</si>
  <si>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</si>
  <si>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</si>
  <si>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</si>
  <si>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</si>
  <si>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</si>
  <si>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</si>
  <si>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</si>
  <si>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</si>
  <si>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</si>
  <si>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</si>
  <si>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</si>
  <si>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</si>
  <si>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</si>
  <si>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</si>
  <si>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</si>
  <si>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</si>
  <si>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</si>
  <si>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</si>
  <si>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</si>
  <si>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</si>
  <si>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</si>
  <si>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</si>
  <si>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</si>
  <si>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</si>
  <si>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</si>
  <si>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</si>
  <si>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</si>
  <si>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</si>
  <si>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</si>
  <si>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</si>
  <si>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</si>
  <si>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</si>
  <si>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</si>
  <si>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</si>
  <si>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Reese: 60 hours per year at $50/hour.</t>
  </si>
  <si>
    <t>Hours per Year</t>
  </si>
  <si>
    <t>Reese:  20 hours to adopt a generic ordinance for a town with 10,000 population. CWP IDDE Manual $1,000-$17,000.</t>
  </si>
  <si>
    <t>Costs included under PAI 4.3.1</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</si>
  <si>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rPr>
      <t xml:space="preserve"> Costing assumes  20% of catch basins are KJMs as a low, or 3 per outfall for a high and covers investigation of all, which needs to be spread over 10 year period based on prioritization.  Assume 30 structures per day with 2 field personnel.  Additional annual reporting covered under PAI 4.3.2.  Assume some additional funding for travel time and miscellaneous equipment. </t>
    </r>
  </si>
  <si>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</si>
  <si>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</si>
  <si>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</si>
  <si>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</si>
  <si>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</si>
  <si>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</si>
  <si>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</si>
  <si>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</si>
  <si>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</si>
  <si>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</si>
  <si>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</si>
  <si>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</si>
  <si>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</si>
  <si>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</si>
  <si>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</si>
  <si>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</si>
  <si>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</si>
  <si>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</si>
  <si>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</si>
  <si>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</si>
  <si>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</si>
  <si>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</si>
  <si>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</si>
  <si>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</si>
  <si>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</si>
  <si>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</si>
  <si>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</si>
  <si>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</si>
  <si>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</si>
  <si>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</si>
  <si>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 xml:space="preserve">Communities can pass inspection costs on to the developer, which would eliminate consultant costs and minimize this to staff hours.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</si>
  <si>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</si>
  <si>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</si>
  <si>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</si>
  <si>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</si>
  <si>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 xml:space="preserve">Low cost is for generation of a paper map using existing available maps (e.g., subdivision maps) and uses the low end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</si>
  <si>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Public Education and Outreach Requirement</t>
  </si>
  <si>
    <t>Type of Material</t>
  </si>
  <si>
    <t>Annual - Ongoing</t>
  </si>
  <si>
    <t>Continue public education program required by 2003 permit.</t>
  </si>
  <si>
    <t>Develop program - Define goals, express specific messages define audience for each message, identify parties responsible for implementation, identify methods to evaluate effectiveness of messages.</t>
  </si>
  <si>
    <t>Begin 1st year of permit</t>
  </si>
  <si>
    <t xml:space="preserve">Annual </t>
  </si>
  <si>
    <t>Mailed Brochure</t>
  </si>
  <si>
    <t>Printed Flyer</t>
  </si>
  <si>
    <t>Website</t>
  </si>
  <si>
    <t>Workshops</t>
  </si>
  <si>
    <t>Review program and modify ineffective messages or distribution techniques.</t>
  </si>
  <si>
    <t>This will be covered by other requirements of the permit.</t>
  </si>
  <si>
    <t>Assume 16-20 hours one time cost for meeting and coordination time with the community to determine what they currently do and what works for them in the future.</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</si>
  <si>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</si>
  <si>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</si>
  <si>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</si>
  <si>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</si>
  <si>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</si>
  <si>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Provide annual opportunity for public to participate in review and implementation of SWMP. May include websites, hotlines, clean-up teams, monitoring teams, advisory committee.</t>
  </si>
  <si>
    <t>Report activities in annual report.</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</si>
  <si>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</si>
  <si>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</si>
  <si>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</si>
  <si>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</si>
  <si>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</si>
  <si>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Develop or update written O&amp;M procedures for listed municipal facilities. </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</si>
  <si>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</si>
  <si>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</si>
  <si>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</si>
  <si>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</si>
  <si>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</si>
  <si>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</si>
  <si>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Clean catch basins.</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</si>
  <si>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</si>
  <si>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</si>
  <si>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</si>
  <si>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</si>
  <si>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</si>
  <si>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</si>
  <si>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</si>
  <si>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</si>
  <si>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</si>
  <si>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</si>
  <si>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</si>
  <si>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</si>
  <si>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</si>
  <si>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</si>
  <si>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</si>
  <si>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</si>
  <si>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</si>
  <si>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</si>
  <si>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</si>
  <si>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</si>
  <si>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</si>
  <si>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</si>
  <si>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</si>
  <si>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</si>
  <si>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</si>
  <si>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</si>
  <si>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</si>
  <si>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</si>
  <si>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</si>
  <si>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2.4.2</t>
  </si>
  <si>
    <t>Inspect all such structures at least once annually.</t>
  </si>
  <si>
    <t>2.4.3</t>
  </si>
  <si>
    <t>2.4.4</t>
  </si>
  <si>
    <t>Keep a written record of all required activities.</t>
  </si>
  <si>
    <t>SWPPP</t>
  </si>
  <si>
    <t>Develop a SWPPP for maintenance garages, public works yards, transfer stations, and other waste handling facilities where pollutants are exposed to stormwater.</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</si>
  <si>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</si>
  <si>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</si>
  <si>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</si>
  <si>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Quarterly</t>
  </si>
  <si>
    <t>Inspect all areas exposed to stormwater and all stormwater control measures at least every calendar quarter, with one when a stormwater discharge is occurring.</t>
  </si>
  <si>
    <t>Repair or replace any control measures needing repair before the next anticipated storm event.</t>
  </si>
  <si>
    <t>Report the findings from the Site inspections in the annual report.</t>
  </si>
  <si>
    <t>Keep a written record of all required activities required under the SWPPP.</t>
  </si>
  <si>
    <t>Assume 8 hours for site visits and 4 hours to prep table/report/letter</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</si>
  <si>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</si>
  <si>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</si>
  <si>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</si>
  <si>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</si>
  <si>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Most work completed under PAI 2.1.1 and this would be a simple write up</t>
  </si>
  <si>
    <t>Assumes rented truck ($50-$100 per curb mile)</t>
  </si>
  <si>
    <t>No cost as storage and disposal are regulated elsewhere. If truck is rented, disposal costs are included.</t>
  </si>
  <si>
    <t>Assume 8 hours fro general procedures and 4-16 for specific BMPs.</t>
  </si>
  <si>
    <t>Cost included throughout other items.</t>
  </si>
  <si>
    <t>Assume one annual training (8 hours) and 4-6 hours for documentation and prep</t>
  </si>
  <si>
    <t xml:space="preserve">Assume 2-4 hours per facility (2-3 facilities) per quarter or 8-16 hours per facility per year </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</si>
  <si>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</si>
  <si>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</si>
  <si>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</si>
  <si>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</si>
  <si>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</si>
  <si>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</si>
  <si>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</si>
  <si>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</si>
  <si>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</si>
  <si>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</si>
  <si>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</si>
  <si>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</si>
  <si>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</si>
  <si>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</si>
  <si>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</si>
  <si>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</si>
  <si>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</si>
  <si>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Material for report should be available through 2.1.2. and 2.1.6. Hours to assemble report and calculate material removed ( 8 hours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</si>
  <si>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</si>
  <si>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</si>
  <si>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</si>
  <si>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</si>
  <si>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</si>
  <si>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</si>
  <si>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</si>
  <si>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</si>
  <si>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</si>
  <si>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</si>
  <si>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</si>
  <si>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</si>
  <si>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</si>
  <si>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</si>
  <si>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</si>
  <si>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</si>
  <si>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</si>
  <si>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 FOR FIVE YEARS (W/o Intermittent Costs)</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</si>
  <si>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</si>
  <si>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</si>
  <si>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</si>
  <si>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</si>
  <si>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</si>
  <si>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</si>
  <si>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</si>
  <si>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</si>
  <si>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</si>
  <si>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</si>
  <si>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</si>
  <si>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</si>
  <si>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One Time Costs</t>
  </si>
  <si>
    <t>Annual/Ongoing Costs</t>
  </si>
  <si>
    <t>Total Costs/Hours</t>
  </si>
  <si>
    <t xml:space="preserve"> Fixed Cost</t>
  </si>
  <si>
    <t>Fixed Cost</t>
  </si>
  <si>
    <t>NOI Requirement</t>
  </si>
  <si>
    <t>SWMP Requirement</t>
  </si>
  <si>
    <t>Annual Reporting Requirement</t>
  </si>
  <si>
    <t>Total Cost/Hours</t>
  </si>
  <si>
    <t xml:space="preserve"> Fixed Cost </t>
  </si>
  <si>
    <t>Keep records for 5 years.</t>
  </si>
  <si>
    <t>Covered under annual reporting</t>
  </si>
  <si>
    <t>Make records relating to the permit available to the public.</t>
  </si>
  <si>
    <t>Number of BMPs</t>
  </si>
  <si>
    <t>For 5 BMPs, assume 1-2 hours per BMP and 6 hours for documentation</t>
  </si>
  <si>
    <t>Costs will vary based on extent of SWPPPs; assume approximately $1,000-$1,500 per facility (2-3 facilities annually)</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</si>
  <si>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</si>
  <si>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</si>
  <si>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</si>
  <si>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 xml:space="preserve">Most communities will already be sweeping all roads. For rural communities, costs include 20 hours to develop plan and additional 10 hours per year to conduct a windshield survey and document. </t>
  </si>
  <si>
    <t>Assume $5,000 per facility. SWPPPs are required for 2-3 of the 5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</si>
  <si>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</si>
  <si>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</si>
  <si>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</si>
  <si>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</si>
  <si>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</si>
  <si>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Develop and send out two separate messages for each of 4 different audiences (residential, business/commercial/institution, developer &amp; construction, industrial) - assume distribution annually and a total of 8 messages per permit term.</t>
  </si>
  <si>
    <t>Range based on assumption a community will do the least expensive (flyers) task or the most expensive task (workshops) for a total of 8 messages throughout the permit term.</t>
  </si>
  <si>
    <t xml:space="preserve">Assume 6-8 hours per year for development of brochure; printing and mailing costs range from $0.05 -$0.10 per household (assume approximately 2,000 households). </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</si>
  <si>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</si>
  <si>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</si>
  <si>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</si>
  <si>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Rural</t>
  </si>
  <si>
    <t>Suburban</t>
  </si>
  <si>
    <t>Urban</t>
  </si>
  <si>
    <t>Maximum number of illicit dicharge incidents.</t>
  </si>
  <si>
    <t>Scaled as follows: Rural - 0-1 per year, Suburban - 0-3 per year, Urban - 0-6 per year.</t>
  </si>
  <si>
    <t>Assumed level of effort is spread evenly over ten years and then applied half of this to the five year permit term. The five samples per day is based on CEI experience performing wet weather sampling and trying to capture first flush. There can be false starts where time is spent going to collect a sample without enough runoff to actually collect one, which increases the level of effort to get the samples. Additional time may also be used trying to capture first flush.</t>
  </si>
  <si>
    <t>Adjusted to 30-40 per day. 30 is more appropriate for busy area where vehicles may be in the way and structures may have to be visited more than once. Also reflects where more dry weather flows are encountered. Also reduced costs to reflect it evenly spread over 10 years.</t>
  </si>
  <si>
    <t>CEI charged about $3,500 to prepare an IDDE plan under the 2003 permit. The new permit has some additional information to be incorporated (catchment investigation procedures &amp; prioritization), which increases the level of effort. However, assuming a plan has already been prepared under the 2003 permit, a range has been provided to update an existing plan (low) and to prepare a plan from scratch (high). The level of effort will not change from one type of community to another since the catchment delineation/priorization task is covered elsewhere.</t>
  </si>
  <si>
    <t xml:space="preserve">Level of effort is based on CEI performing training and includes preparation of training materials (these are typically tailored to the specific community) and exercises (where applicable), printing of traiining materials, travel to and from the site and providing the training. The same level of effort is expended regardless of the size of the staff; however, there could be some savings in materials. The $500 for travel and materials has been adjusted to range between $100-$500 to account for differences in travel mileage and materials, however, this has not been scaled by community size since the travel can be highly variable. </t>
  </si>
  <si>
    <t>Any items that can be completed over ten years are assumed to be spread evenly over that 10-year period and only the first five years are included in this total.</t>
  </si>
  <si>
    <t xml:space="preserve">Varies depending on the amount of new construction per year.  Assume 0-20 hours per year to update map in GIS with new subdivision information. </t>
  </si>
  <si>
    <t>Level of effort will depend on the community. More complex urban areas with sewer conversions, historic CSO, etc. will take more effort to gather and review the information. Scaled to reflect different community types. Rural - 16-24, Suburban - 24-40, Urban - 24-60.</t>
  </si>
  <si>
    <t>Cost to delineate under PAI 3.2.  Will depend on availability of classification factor information.  Assume 16 hours minimum to collect data, develop a matrix and rank catchments. Increase up to 24 hours for more complex data.</t>
  </si>
  <si>
    <t>Varies depending on the amount of construction or newly identified outfalls per year and the amount of updated screening information.  Assume 0-16 hours per year to update ranking with new information.</t>
  </si>
  <si>
    <t>Covered under 4.5.1.</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</si>
  <si>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</si>
  <si>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 xml:space="preserve">Assume 16 hours for rural communities with no sewer to assess system vulnerability factors.  Assume 40 hours for towns with sewer. </t>
  </si>
  <si>
    <t>Time is scaled as follows: Rural - 16-40 hours, Suburban - 16-40 hours, Urban - 40-60. Whether or not they have sewer and SSOs will be a large factor in level of effort, along with availability of information.</t>
  </si>
  <si>
    <t>A plan was required under the 2003 permit. Assume low of 16 hours to update an existing plan with catchment prioritization and investigation requirements. Assume 48 hours to develop a plan if one does not exist.</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</si>
  <si>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24-40 hours for mapping and report preparation, which would include reporting for items PAI 4.3.2, 4.3.3 and 4.4.4.    </t>
  </si>
  <si>
    <t xml:space="preserve">Permit just says to find source and remove. Assume there will be some follow-up sampling to do this.  Assume a field crew of 2 people for 8 hours to investigate each incident, with up to 1 incident per year. Assume an additional 5 samples per incident to help identify the source. </t>
  </si>
  <si>
    <t>Assume investigation performed under PAI 4.3.2A. Assume 8 hours for a brief report for each incident.  Assume costs to fix ($2,500 estimated by CWP) are passed along to responsible party.</t>
  </si>
  <si>
    <t>Assume 2 people for 4 hours to investigate each incident, and additional 8 hours for a brief report.  Cost will vary depending on # of illicit discharges discovered.  Assume 0 to 3 per year, consistent with PAI 4.5.2.</t>
  </si>
  <si>
    <t>High excludes Item 4.4.4 (catchment investigations) since it assumes field mapping of the system, which will cover these costs. Costs do not account for Municipal time to coordinate with consultant.</t>
  </si>
  <si>
    <t>The 25 structures per day is based on WV/CEI field experience mapping several systems. We conduct mapping in two passes. The first pass is to collect structure location and rim elevations using GPS. We can cover about 70 structures per day to do this. The data is then mapped and referenced to a datum. It provides us with the structure locations to then snap pipe lines and directions collected during the second pass. The second pass is to collect inverts and pipe information (direction, condition, etc.). We can typically do 40 structures a day in the second pass. This involves opening each structure to collect the necessary information. Our GPS equipments was about $18,000 for the GPS, antenna, Toughbook, training and was purchased for mapping accuracy (specifically for obtaining invert pipe elevations for connectivity). Less expensive units can be purchased, but lose vertical accuracy critical for mappiping pipe flow direction.</t>
  </si>
  <si>
    <t xml:space="preserve">Many municipalities will not have the GIS tools to do the faster delineation and it will still require some review and QA/QC for accuracy. This represents a worst case. </t>
  </si>
  <si>
    <t>Could be nothing. Scaled it to community type using Reese estimate as upper limit. Note that Reese reference is also just an estimate. Rural - 0-20 hours, Suburban -0-40 hours, Urban - 0-60 hours.</t>
  </si>
  <si>
    <t>Could be nothing. Scaled it to community type. Rural - 0-16 hours, Suburban -0-24 hours, Urban - 0-40 hours.</t>
  </si>
  <si>
    <t>Additional mapping and report preparation is for a consultant to prepare an annual summary report of the findings of dry weather screening, wet weather screening, and key junction manhole investigations. This would include compilation of field notes and preparation of laboratory data summary tables, summaries of more detailed investigations, and any recommendations for follow-on investigations. It may include some maps to highlight areas where further investigations were performed or need to be performed, particularly if something new was found. This has been scaled to show increasingly more effort from rural to urban. Rural - 16-24 hours, Suburban - 24-40 hours, Urban - 40-60 hours.</t>
  </si>
  <si>
    <t>Construction Projects per Year</t>
  </si>
  <si>
    <t>WV Estimate. For comparison - Reese:  $2,000 for small town, $3,000 for mid-sized town at $50/hr.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</si>
  <si>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</si>
  <si>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</si>
  <si>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</si>
  <si>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Communities can pass peer review costs on to the developer, which would eliminate consultant costs and minimize this to staff hours. The estimates are lower than that provided by Reese.</t>
  </si>
  <si>
    <t xml:space="preserve">Inspection time will vary from 4-8 hours depending on proximity of site to inspector. Assumes site visit, log completion, photo documentation and preparation of memo by consultant. Assume 1 inspection per project per year. </t>
  </si>
  <si>
    <t xml:space="preserve">WV Estimate. </t>
  </si>
  <si>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</si>
  <si>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</si>
  <si>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Modified to base it on the number of sites.</t>
  </si>
  <si>
    <t>This is an intermittent cost because it will only be required for new infrastructure construction projects with the potential to impact a historic site. Most want have to do this.</t>
  </si>
  <si>
    <t>Depends on whether additional data outside the NPDES program is collected and provided to community.</t>
  </si>
  <si>
    <t>Assume most work performed under PAI 4.4.4 and 4.4.5.  Just need to tabulate results into annual report.  Assume 2-4 hours to summarize for report.</t>
  </si>
  <si>
    <t>Tracking hours per year.  Assume number of site reviews, inspections and enforcement actions tracked under PAI 1.4 with copy of tracking attached to report.</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</si>
  <si>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</si>
  <si>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</si>
  <si>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</si>
  <si>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Assumes inspections logs will be completed during inspection and attached to the annual report. A few hours to obtain and include information on status of needed improvements identified during inspections.</t>
  </si>
  <si>
    <t>No cost. Incorporated into prioritization matrix.</t>
  </si>
  <si>
    <t>This would be a BMP cost and can be highly variable depending on the BMP selected and implemented. It also will only apply to communities with surface water supplies in the urbanized area, so will impact a limited population. "To the extent feasible" also leaves an opportunity for a community not to do something because they find it too expensive, etc. Does EPA want us to select a few BMPs to include costs for?</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</si>
  <si>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</si>
  <si>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</si>
  <si>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Overview of Total Cost of Program (over 5 years)</t>
  </si>
  <si>
    <t>Minimum Control Measure</t>
  </si>
  <si>
    <t>Public Education</t>
  </si>
  <si>
    <t>Public Participation</t>
  </si>
  <si>
    <t>NOI</t>
  </si>
  <si>
    <t>SWMP</t>
  </si>
  <si>
    <t>Annual Report</t>
  </si>
  <si>
    <t>Overview of Annual Cost of Program</t>
  </si>
  <si>
    <t>2.3.2.1</t>
  </si>
  <si>
    <t>2.3.2.1 a &amp; b</t>
  </si>
  <si>
    <t>2.3.2.3</t>
  </si>
  <si>
    <t>2.3.2.4</t>
  </si>
  <si>
    <t>2.3.3.1</t>
  </si>
  <si>
    <t>2.3.3.2</t>
  </si>
  <si>
    <t>2.3.3.3</t>
  </si>
  <si>
    <t>2.3.7.1</t>
  </si>
  <si>
    <t>2.3.7.1 d i &amp; ii</t>
  </si>
  <si>
    <t>2.3.7.1 d ii</t>
  </si>
  <si>
    <t>2.3.7.1 d iii</t>
  </si>
  <si>
    <t>2.3.7.1 d iv</t>
  </si>
  <si>
    <t>2.3.7.1 d v</t>
  </si>
  <si>
    <t>2.3.7.1 d vi</t>
  </si>
  <si>
    <t>2.3.7.1 e</t>
  </si>
  <si>
    <t>2.3.7.1 f</t>
  </si>
  <si>
    <t>2.3.7.2</t>
  </si>
  <si>
    <t>2.3.7.2 b iv</t>
  </si>
  <si>
    <t>2.3.7.2 b v</t>
  </si>
  <si>
    <t>2.3.7.2 b vi</t>
  </si>
  <si>
    <t>2.3.7.2 c</t>
  </si>
  <si>
    <t>2.3.7.2 d</t>
  </si>
  <si>
    <t>2.3.4.7 b &amp; c</t>
  </si>
  <si>
    <t>2.3.4.8</t>
  </si>
  <si>
    <t>2.3.4.8 a</t>
  </si>
  <si>
    <t>2.3.4.8 c</t>
  </si>
  <si>
    <t>2.3.4.8 c i &amp; iii</t>
  </si>
  <si>
    <t>2.3.4.8 c  ii &amp; iii</t>
  </si>
  <si>
    <t>2.3.4.8 d</t>
  </si>
  <si>
    <t>2.3.4.8 d i &amp; ii</t>
  </si>
  <si>
    <t>2.3.4.8 d iii &amp; 2.3.4.9 a</t>
  </si>
  <si>
    <t>2.3.4.2 b</t>
  </si>
  <si>
    <t>2.3.4.8 d iv &amp; 2.3.4.8 e ii b</t>
  </si>
  <si>
    <t>2.3.4.8 d v</t>
  </si>
  <si>
    <t>2.3.4.9 a &amp; 4.3.2</t>
  </si>
  <si>
    <t>2.3.4.8 e</t>
  </si>
  <si>
    <t>2.3.4.8 e i</t>
  </si>
  <si>
    <t>2.3.4.8 e ii a &amp; 2.3.4.9 c i,ii,iii</t>
  </si>
  <si>
    <t>2.3.4.9 c i</t>
  </si>
  <si>
    <t>2.3.4.9 c ii</t>
  </si>
  <si>
    <t>2.3.4.9 c iii</t>
  </si>
  <si>
    <t>2.3.4.8 e ii a &amp; 2.3.4.8 c i,ii,iii</t>
  </si>
  <si>
    <t>2.3.4.8 f</t>
  </si>
  <si>
    <t>2.3.4.8 g</t>
  </si>
  <si>
    <t>2.3.4.11</t>
  </si>
  <si>
    <t>2.3.5</t>
  </si>
  <si>
    <t>2.3.5.3 a</t>
  </si>
  <si>
    <t>2.3.5.3 b</t>
  </si>
  <si>
    <t>2.3.5.3 c</t>
  </si>
  <si>
    <t>2.3.5.3 e</t>
  </si>
  <si>
    <t>2.3.6 d</t>
  </si>
  <si>
    <t>2.3.6. 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</si>
</sst>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Red]&quot;$&quot;#,##0"/>
    <numFmt numFmtId="173" formatCode="&quot;$&quot;#,##0"/>
    <numFmt numFmtId="174" formatCode="0.0"/>
    <numFmt numFmtId="175" formatCode="#,##0;[Red]#,##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0"/>
    <numFmt numFmtId="182" formatCode="[$-409]dddd\,\ mmmm\ dd\,\ yyyy"/>
    <numFmt numFmtId="183" formatCode="[$-409]h:mm:ss\ AM/PM"/>
    <numFmt numFmtId="184" formatCode="&quot;$&quot;#,##0.00;[Red]&quot;$&quot;#,##0.00"/>
    <numFmt numFmtId="185" formatCode="&quot;$&quot;#,##0.0;[Red]&quot;$&quot;#,##0.0"/>
    <numFmt numFmtId="186" formatCode="\$#,##0.00_);[Red]&quot;($&quot;#,##0.00\)"/>
    <numFmt numFmtId="187" formatCode="_(\$* #,##0.00_);_(\$* \(#,##0.00\);_(\$* \-??_);_(@_)"/>
    <numFmt numFmtId="188" formatCode="\$#,##0_);[Red]&quot;($&quot;#,##0\)"/>
    <numFmt numFmtId="189" formatCode="_(* #,##0.0_);_(* \(#,##0.0\);_(* &quot;-&quot;??_);_(@_)"/>
    <numFmt numFmtId="190" formatCode="_(* #,##0_);_(* \(#,##0\);_(* &quot;-&quot;??_);_(@_)"/>
  </numFmts>
  <fonts count="57">
    <font>
      <sz val="11"/>
      <color theme="1"/>
      <name val="Calibri"/>
      <family val="2"/>
    </font>
    <font>
      <sz val="11"/>
      <color indexed="8"/>
      <name val="Calibri"/>
      <family val="2"/>
    </font>
    <font>
      <sz val="8"/>
      <name val="Calibri"/>
      <family val="2"/>
    </font>
    <font>
      <sz val="10"/>
      <name val="Times New Roman"/>
      <family val="1"/>
    </font>
    <font>
      <b/>
      <sz val="11"/>
      <color indexed="8"/>
      <name val="Calibri"/>
      <family val="2"/>
    </font>
    <font>
      <sz val="11"/>
      <name val="Times New Roman"/>
      <family val="1"/>
    </font>
    <font>
      <u val="single"/>
      <sz val="10"/>
      <color indexed="12"/>
      <name val="Arial"/>
      <family val="0"/>
    </font>
    <font>
      <sz val="11"/>
      <name val="Calibri"/>
      <family val="2"/>
    </font>
    <font>
      <b/>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8"/>
      <name val="Calibri"/>
      <family val="2"/>
    </font>
    <font>
      <i/>
      <sz val="12"/>
      <color indexed="8"/>
      <name val="Calibri"/>
      <family val="2"/>
    </font>
    <font>
      <i/>
      <sz val="11"/>
      <color indexed="8"/>
      <name val="Calibri"/>
      <family val="0"/>
    </font>
    <font>
      <b/>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i/>
      <sz val="12"/>
      <color theme="1"/>
      <name val="Calibri"/>
      <family val="2"/>
    </font>
    <font>
      <i/>
      <sz val="11"/>
      <color theme="1"/>
      <name val="Calibri"/>
      <family val="0"/>
    </font>
    <font>
      <sz val="11"/>
      <color rgb="FF000000"/>
      <name val="Calibri"/>
      <family val="2"/>
    </font>
    <font>
      <b/>
      <sz val="11"/>
      <color rgb="FF000000"/>
      <name val="Calibri"/>
      <family val="2"/>
    </font>
    <font>
      <b/>
      <i/>
      <sz val="11"/>
      <color rgb="FF000000"/>
      <name val="Calibri"/>
      <family val="0"/>
    </font>
    <font>
      <i/>
      <sz val="12"/>
      <color rgb="FF000000"/>
      <name val="Calibri"/>
      <family val="2"/>
    </font>
    <font>
      <b/>
      <sz val="12"/>
      <color rgb="FF000000"/>
      <name val="Calibri"/>
      <family val="2"/>
    </font>
    <font>
      <b/>
      <i/>
      <sz val="11"/>
      <color theme="1"/>
      <name val="Calibri"/>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2499700039625167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color indexed="63"/>
      </top>
      <bottom>
        <color indexed="63"/>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rgb="FFBFBFBF"/>
      </left>
      <right style="thin">
        <color rgb="FFBFBFBF"/>
      </right>
      <top style="thin">
        <color rgb="FFBFBFBF"/>
      </top>
      <bottom style="thin">
        <color rgb="FFBFBFBF"/>
      </bottom>
    </border>
    <border>
      <left style="thin">
        <color theme="0" tint="-0.24997000396251678"/>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color indexed="63"/>
      </left>
      <right style="thin">
        <color rgb="FFBFBFBF"/>
      </right>
      <top style="thin">
        <color rgb="FFBFBFBF"/>
      </top>
      <bottom style="thin">
        <color rgb="FFBFBFBF"/>
      </bottom>
    </border>
    <border>
      <left style="thin"/>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color indexed="63"/>
      </bottom>
    </border>
    <border>
      <left style="thin"/>
      <right>
        <color indexed="63"/>
      </right>
      <top style="thin"/>
      <bottom style="thin"/>
    </border>
    <border>
      <left>
        <color indexed="63"/>
      </left>
      <right style="thin"/>
      <top style="thin"/>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style="thin">
        <color rgb="FF000000"/>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bottom>
        <color indexed="63"/>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style="thin"/>
      <top style="thin"/>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color theme="0" tint="-0.3499799966812134"/>
      </right>
      <top style="thin"/>
      <bottom>
        <color indexed="63"/>
      </bottom>
    </border>
    <border>
      <left style="thin"/>
      <right style="thin">
        <color theme="0" tint="-0.3499799966812134"/>
      </right>
      <top>
        <color indexed="63"/>
      </top>
      <bottom>
        <color indexed="63"/>
      </bottom>
    </border>
    <border>
      <left style="thin"/>
      <right style="thin">
        <color theme="0" tint="-0.3499799966812134"/>
      </right>
      <top>
        <color indexed="63"/>
      </top>
      <bottom style="thin">
        <color theme="0" tint="-0.3499799966812134"/>
      </bottom>
    </border>
    <border>
      <left style="thin">
        <color theme="0" tint="-0.3499799966812134"/>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right style="thin">
        <color theme="0" tint="-0.24997000396251678"/>
      </right>
      <top style="thin"/>
      <bottom>
        <color indexed="63"/>
      </bottom>
    </border>
    <border>
      <left style="thin"/>
      <right style="thin">
        <color theme="0" tint="-0.24997000396251678"/>
      </right>
      <top>
        <color indexed="63"/>
      </top>
      <bottom>
        <color indexed="63"/>
      </bottom>
    </border>
    <border>
      <left style="thin"/>
      <right style="thin">
        <color theme="0" tint="-0.24997000396251678"/>
      </right>
      <top>
        <color indexed="63"/>
      </top>
      <bottom style="thin">
        <color theme="0" tint="-0.24997000396251678"/>
      </bottom>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color indexed="63"/>
      </top>
      <bottom>
        <color indexed="63"/>
      </bottom>
    </border>
    <border>
      <left style="thin">
        <color theme="0" tint="-0.24997000396251678"/>
      </left>
      <right style="thin"/>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bottom style="thin"/>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style="thin">
        <color theme="0" tint="-0.24997000396251678"/>
      </left>
      <right>
        <color indexed="63"/>
      </right>
      <top style="thin">
        <color theme="0" tint="-0.24997000396251678"/>
      </top>
      <bottom style="thin">
        <color theme="0" tint="-0.3499799966812134"/>
      </bottom>
    </border>
    <border>
      <left>
        <color indexed="63"/>
      </left>
      <right>
        <color indexed="63"/>
      </right>
      <top style="thin">
        <color theme="0" tint="-0.24997000396251678"/>
      </top>
      <bottom style="thin">
        <color theme="0" tint="-0.3499799966812134"/>
      </bottom>
    </border>
    <border>
      <left>
        <color indexed="63"/>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bottom style="thin"/>
    </border>
    <border>
      <left style="thin">
        <color theme="0" tint="-0.24997000396251678"/>
      </left>
      <right>
        <color indexed="63"/>
      </right>
      <top style="thin">
        <color theme="0" tint="-0.24997000396251678"/>
      </top>
      <bottom style="thin">
        <color rgb="FFBFBFBF"/>
      </bottom>
    </border>
    <border>
      <left>
        <color indexed="63"/>
      </left>
      <right>
        <color indexed="63"/>
      </right>
      <top style="thin">
        <color theme="0" tint="-0.24997000396251678"/>
      </top>
      <bottom style="thin">
        <color rgb="FFBFBFBF"/>
      </bottom>
    </border>
    <border>
      <left>
        <color indexed="63"/>
      </left>
      <right style="thin">
        <color theme="0" tint="-0.24997000396251678"/>
      </right>
      <top style="thin">
        <color theme="0" tint="-0.24997000396251678"/>
      </top>
      <bottom style="thin">
        <color rgb="FFBFBFBF"/>
      </bottom>
    </border>
    <border>
      <left style="thin">
        <color theme="0" tint="-0.24997000396251678"/>
      </left>
      <right>
        <color indexed="63"/>
      </right>
      <top style="thin">
        <color rgb="FFBFBFBF"/>
      </top>
      <bottom style="thin">
        <color theme="0" tint="-0.24997000396251678"/>
      </bottom>
    </border>
    <border>
      <left>
        <color indexed="63"/>
      </left>
      <right style="thin">
        <color rgb="FFBFBFBF"/>
      </right>
      <top style="thin">
        <color rgb="FFBFBFBF"/>
      </top>
      <bottom style="thin">
        <color theme="0" tint="-0.24997000396251678"/>
      </bottom>
    </border>
    <border>
      <left style="thin">
        <color rgb="FFBFBFBF"/>
      </left>
      <right>
        <color indexed="63"/>
      </right>
      <top style="thin">
        <color rgb="FFBFBFBF"/>
      </top>
      <bottom style="thin">
        <color theme="0" tint="-0.24997000396251678"/>
      </bottom>
    </border>
    <border>
      <left>
        <color indexed="63"/>
      </left>
      <right style="thin">
        <color theme="0" tint="-0.24997000396251678"/>
      </right>
      <top style="thin">
        <color rgb="FFBFBFBF"/>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5">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46"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0" xfId="0" applyFont="1" applyBorder="1" applyAlignment="1">
      <alignment horizontal="center" wrapText="1"/>
    </xf>
    <xf numFmtId="0" fontId="0"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4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72" fontId="0" fillId="0" borderId="0" xfId="0" applyNumberFormat="1" applyAlignment="1">
      <alignment horizontal="right"/>
    </xf>
    <xf numFmtId="173" fontId="0" fillId="0" borderId="0" xfId="0" applyNumberFormat="1" applyAlignment="1">
      <alignment/>
    </xf>
    <xf numFmtId="173" fontId="0" fillId="0" borderId="0" xfId="0" applyNumberFormat="1" applyAlignment="1">
      <alignment horizontal="righ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170" fontId="3" fillId="0" borderId="0" xfId="44" applyFont="1" applyFill="1" applyBorder="1" applyAlignment="1" applyProtection="1">
      <alignment horizontal="left"/>
      <protection/>
    </xf>
    <xf numFmtId="0" fontId="5" fillId="0" borderId="0" xfId="0" applyFont="1" applyAlignment="1">
      <alignment/>
    </xf>
    <xf numFmtId="186" fontId="5" fillId="0" borderId="0" xfId="0" applyNumberFormat="1" applyFont="1" applyAlignment="1">
      <alignment/>
    </xf>
    <xf numFmtId="0" fontId="5" fillId="0" borderId="0" xfId="0" applyFont="1" applyAlignment="1">
      <alignment horizontal="left"/>
    </xf>
    <xf numFmtId="187" fontId="5" fillId="0" borderId="0" xfId="0" applyNumberFormat="1" applyFont="1" applyAlignment="1">
      <alignment/>
    </xf>
    <xf numFmtId="0" fontId="6" fillId="0" borderId="0" xfId="53" applyNumberFormat="1" applyFont="1" applyFill="1" applyBorder="1" applyAlignment="1" applyProtection="1">
      <alignment/>
      <protection/>
    </xf>
    <xf numFmtId="188" fontId="5" fillId="0" borderId="0" xfId="0" applyNumberFormat="1" applyFont="1" applyAlignment="1">
      <alignment/>
    </xf>
    <xf numFmtId="170" fontId="0" fillId="0" borderId="0" xfId="44" applyAlignment="1">
      <alignment/>
    </xf>
    <xf numFmtId="167" fontId="5" fillId="0" borderId="0" xfId="0" applyNumberFormat="1" applyFont="1" applyAlignment="1">
      <alignment/>
    </xf>
    <xf numFmtId="0" fontId="5" fillId="0" borderId="0" xfId="0" applyFont="1" applyAlignment="1">
      <alignment horizontal="right"/>
    </xf>
    <xf numFmtId="165" fontId="0" fillId="0" borderId="0" xfId="0" applyNumberFormat="1" applyAlignment="1">
      <alignment/>
    </xf>
    <xf numFmtId="1" fontId="0" fillId="0" borderId="0" xfId="0" applyNumberFormat="1" applyAlignment="1" quotePrefix="1">
      <alignment/>
    </xf>
    <xf numFmtId="172" fontId="0" fillId="0" borderId="0" xfId="0" applyNumberFormat="1" applyFill="1" applyBorder="1" applyAlignment="1">
      <alignment wrapText="1"/>
    </xf>
    <xf numFmtId="2" fontId="0" fillId="0" borderId="0" xfId="0" applyNumberFormat="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46" fillId="0" borderId="0" xfId="0" applyFont="1" applyAlignment="1">
      <alignment/>
    </xf>
    <xf numFmtId="0" fontId="46" fillId="0" borderId="0" xfId="0" applyFont="1" applyAlignment="1">
      <alignment vertical="center"/>
    </xf>
    <xf numFmtId="173" fontId="47" fillId="0" borderId="0" xfId="0" applyNumberFormat="1" applyFont="1" applyAlignment="1">
      <alignment/>
    </xf>
    <xf numFmtId="1" fontId="0" fillId="0" borderId="10" xfId="0" applyNumberFormat="1" applyBorder="1" applyAlignment="1">
      <alignment horizontal="center" vertical="center"/>
    </xf>
    <xf numFmtId="173" fontId="0" fillId="0" borderId="10" xfId="0" applyNumberFormat="1" applyBorder="1" applyAlignment="1">
      <alignment horizontal="center" vertical="center"/>
    </xf>
    <xf numFmtId="1" fontId="0" fillId="0" borderId="0" xfId="0" applyNumberFormat="1" applyBorder="1" applyAlignment="1">
      <alignment horizontal="center" vertical="center"/>
    </xf>
    <xf numFmtId="173" fontId="0" fillId="0" borderId="0" xfId="0" applyNumberFormat="1" applyAlignment="1">
      <alignment horizontal="center" vertical="center"/>
    </xf>
    <xf numFmtId="0" fontId="0" fillId="0" borderId="0" xfId="0" applyAlignment="1">
      <alignment horizontal="right" vertical="center"/>
    </xf>
    <xf numFmtId="173"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2" fontId="0" fillId="0" borderId="0" xfId="0" applyNumberFormat="1" applyAlignment="1">
      <alignment horizontal="center" vertical="center"/>
    </xf>
    <xf numFmtId="0" fontId="0" fillId="33" borderId="0" xfId="0" applyFill="1" applyAlignment="1">
      <alignment/>
    </xf>
    <xf numFmtId="165" fontId="0" fillId="0" borderId="0" xfId="0" applyNumberFormat="1" applyAlignment="1">
      <alignment horizontal="right"/>
    </xf>
    <xf numFmtId="1" fontId="0" fillId="0" borderId="0" xfId="0" applyNumberFormat="1" applyAlignment="1" quotePrefix="1">
      <alignment horizontal="right"/>
    </xf>
    <xf numFmtId="0" fontId="0" fillId="0" borderId="0" xfId="0" applyAlignment="1">
      <alignment horizontal="right" wrapText="1"/>
    </xf>
    <xf numFmtId="173" fontId="0" fillId="34" borderId="10" xfId="0" applyNumberFormat="1" applyFill="1" applyBorder="1" applyAlignment="1">
      <alignment horizontal="center" vertical="center"/>
    </xf>
    <xf numFmtId="3" fontId="0" fillId="34" borderId="10" xfId="0" applyNumberFormat="1" applyFill="1" applyBorder="1" applyAlignment="1">
      <alignment horizontal="center" vertical="center"/>
    </xf>
    <xf numFmtId="1" fontId="0" fillId="34" borderId="11" xfId="42" applyNumberFormat="1" applyFont="1" applyFill="1" applyBorder="1" applyAlignment="1">
      <alignment horizontal="center" vertical="center"/>
    </xf>
    <xf numFmtId="0" fontId="46" fillId="35" borderId="12" xfId="0" applyFont="1" applyFill="1" applyBorder="1" applyAlignment="1">
      <alignment horizontal="center" vertical="center"/>
    </xf>
    <xf numFmtId="0" fontId="0" fillId="0" borderId="13" xfId="0" applyBorder="1" applyAlignment="1">
      <alignment horizontal="center" vertical="center"/>
    </xf>
    <xf numFmtId="0" fontId="0" fillId="36" borderId="13" xfId="0" applyFont="1" applyFill="1" applyBorder="1" applyAlignment="1">
      <alignment horizontal="center" vertical="center" wrapText="1"/>
    </xf>
    <xf numFmtId="0" fontId="0" fillId="13" borderId="13" xfId="0" applyFill="1" applyBorder="1" applyAlignment="1">
      <alignment horizontal="center" vertical="center"/>
    </xf>
    <xf numFmtId="173" fontId="0" fillId="0" borderId="13" xfId="0" applyNumberFormat="1" applyFont="1" applyBorder="1" applyAlignment="1">
      <alignment horizontal="center" vertical="center"/>
    </xf>
    <xf numFmtId="0" fontId="0" fillId="0" borderId="13" xfId="0" applyBorder="1" applyAlignment="1">
      <alignment horizontal="center" vertical="center"/>
    </xf>
    <xf numFmtId="6" fontId="0" fillId="0" borderId="13" xfId="0" applyNumberFormat="1" applyBorder="1" applyAlignment="1">
      <alignment horizontal="center" vertical="center"/>
    </xf>
    <xf numFmtId="0" fontId="0" fillId="36" borderId="13" xfId="0" applyFill="1" applyBorder="1" applyAlignment="1">
      <alignment horizontal="center" vertical="center"/>
    </xf>
    <xf numFmtId="0" fontId="0" fillId="0" borderId="13" xfId="0" applyBorder="1" applyAlignment="1">
      <alignment horizontal="center" vertical="center" wrapText="1"/>
    </xf>
    <xf numFmtId="0" fontId="0" fillId="35" borderId="13" xfId="0" applyFill="1" applyBorder="1" applyAlignment="1">
      <alignment horizontal="center" vertical="center"/>
    </xf>
    <xf numFmtId="173" fontId="0" fillId="35" borderId="13" xfId="0" applyNumberFormat="1" applyFont="1" applyFill="1" applyBorder="1" applyAlignment="1">
      <alignment horizontal="center" vertical="center"/>
    </xf>
    <xf numFmtId="173" fontId="0" fillId="0" borderId="13" xfId="0" applyNumberFormat="1" applyFont="1" applyBorder="1" applyAlignment="1">
      <alignment horizontal="center" vertical="center"/>
    </xf>
    <xf numFmtId="0" fontId="0" fillId="0" borderId="13" xfId="0" applyFill="1" applyBorder="1" applyAlignment="1">
      <alignment horizontal="center" vertical="center" wrapText="1"/>
    </xf>
    <xf numFmtId="0" fontId="0" fillId="36" borderId="14" xfId="0" applyFill="1" applyBorder="1" applyAlignment="1">
      <alignment horizontal="center" vertical="center"/>
    </xf>
    <xf numFmtId="173" fontId="0" fillId="36" borderId="0" xfId="0" applyNumberFormat="1" applyFill="1" applyBorder="1" applyAlignment="1">
      <alignment horizontal="center" vertical="center"/>
    </xf>
    <xf numFmtId="6"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0" fillId="36" borderId="10" xfId="0" applyFill="1" applyBorder="1" applyAlignment="1">
      <alignment horizontal="center" vertical="center"/>
    </xf>
    <xf numFmtId="0" fontId="0" fillId="13" borderId="14" xfId="0" applyFill="1" applyBorder="1" applyAlignment="1">
      <alignment horizontal="center" vertical="center"/>
    </xf>
    <xf numFmtId="17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10" xfId="0" applyFill="1" applyBorder="1" applyAlignment="1">
      <alignment horizontal="center" vertical="center"/>
    </xf>
    <xf numFmtId="0" fontId="0" fillId="3" borderId="14" xfId="0" applyFill="1" applyBorder="1" applyAlignment="1">
      <alignment horizontal="center" vertical="center"/>
    </xf>
    <xf numFmtId="17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5" borderId="15" xfId="0" applyFill="1" applyBorder="1" applyAlignment="1">
      <alignment horizontal="center" vertical="center"/>
    </xf>
    <xf numFmtId="172" fontId="0" fillId="35" borderId="16" xfId="0" applyNumberFormat="1" applyFill="1" applyBorder="1" applyAlignment="1">
      <alignment horizontal="center" vertical="center"/>
    </xf>
    <xf numFmtId="0" fontId="0" fillId="35" borderId="16" xfId="0" applyFill="1" applyBorder="1" applyAlignment="1">
      <alignment horizontal="center" vertical="center"/>
    </xf>
    <xf numFmtId="0" fontId="0" fillId="35" borderId="11" xfId="0" applyFill="1" applyBorder="1" applyAlignment="1">
      <alignment horizontal="center" vertical="center"/>
    </xf>
    <xf numFmtId="0" fontId="46" fillId="35" borderId="14"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vertical="center"/>
    </xf>
    <xf numFmtId="0" fontId="0" fillId="0" borderId="20" xfId="0" applyBorder="1" applyAlignment="1">
      <alignment horizontal="center" vertical="center" wrapText="1"/>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3" xfId="0" applyFill="1" applyBorder="1" applyAlignment="1">
      <alignment horizontal="center" vertical="center" wrapText="1"/>
    </xf>
    <xf numFmtId="0" fontId="0" fillId="35" borderId="23" xfId="0" applyFont="1" applyFill="1" applyBorder="1" applyAlignment="1">
      <alignment horizontal="center" vertical="center"/>
    </xf>
    <xf numFmtId="173" fontId="0" fillId="35" borderId="23" xfId="0" applyNumberFormat="1" applyFont="1" applyFill="1" applyBorder="1" applyAlignment="1">
      <alignment horizontal="center" vertical="center"/>
    </xf>
    <xf numFmtId="0" fontId="46" fillId="35" borderId="23" xfId="0" applyFont="1" applyFill="1" applyBorder="1" applyAlignment="1">
      <alignment horizontal="right" vertical="center"/>
    </xf>
    <xf numFmtId="172" fontId="46" fillId="35" borderId="23" xfId="0" applyNumberFormat="1" applyFont="1" applyFill="1" applyBorder="1" applyAlignment="1">
      <alignment horizontal="center" vertical="center"/>
    </xf>
    <xf numFmtId="0" fontId="0" fillId="35" borderId="24" xfId="0" applyFill="1" applyBorder="1" applyAlignment="1">
      <alignment horizontal="center" vertical="center" wrapText="1"/>
    </xf>
    <xf numFmtId="173" fontId="46" fillId="37" borderId="13" xfId="0" applyNumberFormat="1" applyFont="1" applyFill="1" applyBorder="1" applyAlignment="1">
      <alignment horizontal="center" vertical="center"/>
    </xf>
    <xf numFmtId="0" fontId="0" fillId="33" borderId="20" xfId="0" applyFill="1" applyBorder="1" applyAlignment="1">
      <alignment horizontal="center" vertical="center"/>
    </xf>
    <xf numFmtId="173" fontId="0" fillId="34" borderId="11" xfId="0" applyNumberForma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36" borderId="25" xfId="0" applyFont="1" applyFill="1" applyBorder="1" applyAlignment="1">
      <alignment horizontal="center" vertical="center" wrapText="1"/>
    </xf>
    <xf numFmtId="0" fontId="0" fillId="0" borderId="25" xfId="0" applyFill="1" applyBorder="1" applyAlignment="1">
      <alignment horizontal="center" vertical="center"/>
    </xf>
    <xf numFmtId="173" fontId="0"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6" borderId="25" xfId="0" applyFill="1" applyBorder="1" applyAlignment="1">
      <alignment horizontal="center" vertical="center" wrapText="1"/>
    </xf>
    <xf numFmtId="6" fontId="0" fillId="0" borderId="25" xfId="0" applyNumberFormat="1" applyBorder="1" applyAlignment="1">
      <alignment horizontal="center" vertical="center"/>
    </xf>
    <xf numFmtId="0" fontId="0" fillId="36"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51" fillId="35" borderId="29" xfId="0" applyFont="1" applyFill="1" applyBorder="1" applyAlignment="1">
      <alignment horizontal="center" vertical="center"/>
    </xf>
    <xf numFmtId="173" fontId="0" fillId="35" borderId="29" xfId="0" applyNumberFormat="1" applyFont="1" applyFill="1" applyBorder="1" applyAlignment="1">
      <alignment horizontal="center" vertical="center"/>
    </xf>
    <xf numFmtId="0" fontId="46" fillId="35" borderId="29" xfId="0" applyFont="1" applyFill="1" applyBorder="1" applyAlignment="1">
      <alignment horizontal="right" vertical="center"/>
    </xf>
    <xf numFmtId="172" fontId="46" fillId="35" borderId="29" xfId="0" applyNumberFormat="1" applyFont="1" applyFill="1" applyBorder="1" applyAlignment="1">
      <alignment horizontal="center" vertical="center"/>
    </xf>
    <xf numFmtId="0" fontId="0" fillId="35" borderId="30" xfId="0" applyFill="1" applyBorder="1" applyAlignment="1">
      <alignment horizontal="center" vertical="center" wrapText="1"/>
    </xf>
    <xf numFmtId="0" fontId="46" fillId="37" borderId="13" xfId="0" applyFont="1" applyFill="1" applyBorder="1" applyAlignment="1">
      <alignment horizontal="center" vertical="center"/>
    </xf>
    <xf numFmtId="1" fontId="46" fillId="37" borderId="13" xfId="0" applyNumberFormat="1" applyFont="1" applyFill="1" applyBorder="1" applyAlignment="1">
      <alignment horizontal="center" vertical="center" wrapText="1"/>
    </xf>
    <xf numFmtId="0" fontId="46" fillId="0" borderId="0" xfId="0" applyFont="1"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vertical="center"/>
    </xf>
    <xf numFmtId="173" fontId="0" fillId="0" borderId="16"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33" borderId="0" xfId="0" applyFill="1" applyAlignment="1">
      <alignment horizontal="center" vertical="center"/>
    </xf>
    <xf numFmtId="0" fontId="46" fillId="35" borderId="13" xfId="0" applyFont="1" applyFill="1" applyBorder="1" applyAlignment="1">
      <alignment horizontal="center" vertical="center"/>
    </xf>
    <xf numFmtId="0" fontId="46" fillId="35"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13" borderId="13" xfId="0" applyFont="1" applyFill="1" applyBorder="1" applyAlignment="1">
      <alignment horizontal="center" vertical="center"/>
    </xf>
    <xf numFmtId="0" fontId="46" fillId="0" borderId="13" xfId="0" applyFont="1" applyBorder="1" applyAlignment="1">
      <alignment horizontal="center" vertical="center"/>
    </xf>
    <xf numFmtId="173" fontId="46" fillId="0" borderId="13" xfId="0" applyNumberFormat="1" applyFont="1" applyBorder="1" applyAlignment="1">
      <alignment horizontal="center" vertical="center"/>
    </xf>
    <xf numFmtId="1" fontId="46"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xf>
    <xf numFmtId="0" fontId="0" fillId="36" borderId="13" xfId="0" applyFont="1" applyFill="1" applyBorder="1" applyAlignment="1">
      <alignment horizontal="center" vertical="center"/>
    </xf>
    <xf numFmtId="0" fontId="46" fillId="35" borderId="13" xfId="0" applyFont="1" applyFill="1" applyBorder="1" applyAlignment="1">
      <alignment horizontal="center" vertical="center"/>
    </xf>
    <xf numFmtId="0" fontId="46" fillId="34" borderId="13" xfId="0" applyFont="1" applyFill="1" applyBorder="1" applyAlignment="1">
      <alignment horizontal="center" vertical="center"/>
    </xf>
    <xf numFmtId="0" fontId="0" fillId="13" borderId="13" xfId="0" applyFill="1" applyBorder="1" applyAlignment="1">
      <alignment horizontal="center" vertical="center" wrapText="1"/>
    </xf>
    <xf numFmtId="0" fontId="0" fillId="36" borderId="13" xfId="0" applyFill="1" applyBorder="1" applyAlignment="1">
      <alignment horizontal="center" vertical="center" wrapText="1"/>
    </xf>
    <xf numFmtId="0" fontId="0" fillId="3" borderId="13" xfId="0" applyFill="1" applyBorder="1" applyAlignment="1">
      <alignment horizontal="center" vertical="center"/>
    </xf>
    <xf numFmtId="173" fontId="0" fillId="3" borderId="13" xfId="0" applyNumberFormat="1" applyFont="1" applyFill="1" applyBorder="1" applyAlignment="1">
      <alignment horizontal="center" vertical="center"/>
    </xf>
    <xf numFmtId="1" fontId="0" fillId="3" borderId="13" xfId="0" applyNumberFormat="1" applyFont="1" applyFill="1" applyBorder="1" applyAlignment="1">
      <alignment horizontal="center" vertical="center"/>
    </xf>
    <xf numFmtId="0" fontId="51" fillId="13" borderId="13" xfId="0" applyFont="1" applyFill="1" applyBorder="1" applyAlignment="1">
      <alignment horizontal="center" vertical="center"/>
    </xf>
    <xf numFmtId="0" fontId="51" fillId="36" borderId="13" xfId="0" applyFont="1" applyFill="1" applyBorder="1" applyAlignment="1">
      <alignment horizontal="center" vertical="center"/>
    </xf>
    <xf numFmtId="0" fontId="0" fillId="36" borderId="13" xfId="0" applyFill="1" applyBorder="1" applyAlignment="1">
      <alignment horizontal="center" vertical="center"/>
    </xf>
    <xf numFmtId="0" fontId="0" fillId="0" borderId="13" xfId="0" applyFont="1" applyBorder="1" applyAlignment="1">
      <alignment horizontal="center" vertical="center"/>
    </xf>
    <xf numFmtId="172" fontId="46" fillId="0" borderId="13" xfId="0" applyNumberFormat="1" applyFont="1" applyBorder="1" applyAlignment="1">
      <alignment horizontal="center" vertical="center"/>
    </xf>
    <xf numFmtId="0" fontId="0" fillId="13" borderId="13" xfId="0" applyFill="1" applyBorder="1" applyAlignment="1">
      <alignment horizontal="center" vertical="center"/>
    </xf>
    <xf numFmtId="0" fontId="51" fillId="0" borderId="13" xfId="0" applyFont="1" applyBorder="1" applyAlignment="1">
      <alignment horizontal="center" vertical="center"/>
    </xf>
    <xf numFmtId="0" fontId="3" fillId="36" borderId="13"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0" fillId="35" borderId="13" xfId="0" applyFill="1" applyBorder="1" applyAlignment="1">
      <alignment horizontal="center" vertical="center"/>
    </xf>
    <xf numFmtId="173" fontId="0" fillId="35" borderId="13" xfId="0" applyNumberFormat="1" applyFont="1" applyFill="1" applyBorder="1" applyAlignment="1">
      <alignment horizontal="center" vertical="center"/>
    </xf>
    <xf numFmtId="172" fontId="46" fillId="35" borderId="13" xfId="0" applyNumberFormat="1" applyFont="1" applyFill="1" applyBorder="1" applyAlignment="1">
      <alignment horizontal="center" vertical="center"/>
    </xf>
    <xf numFmtId="1" fontId="46" fillId="35" borderId="13" xfId="0" applyNumberFormat="1" applyFont="1" applyFill="1" applyBorder="1" applyAlignment="1">
      <alignment horizontal="center" vertical="center"/>
    </xf>
    <xf numFmtId="0" fontId="46" fillId="35" borderId="13" xfId="0" applyFont="1" applyFill="1" applyBorder="1" applyAlignment="1">
      <alignment horizontal="right" vertical="center"/>
    </xf>
    <xf numFmtId="1" fontId="0" fillId="35" borderId="16" xfId="0" applyNumberFormat="1" applyFill="1" applyBorder="1" applyAlignment="1">
      <alignment horizontal="center" vertical="center"/>
    </xf>
    <xf numFmtId="1" fontId="0" fillId="35" borderId="11" xfId="0" applyNumberFormat="1" applyFill="1" applyBorder="1" applyAlignment="1">
      <alignment horizontal="center" vertical="center"/>
    </xf>
    <xf numFmtId="0" fontId="0" fillId="35" borderId="14" xfId="0" applyFill="1" applyBorder="1" applyAlignment="1">
      <alignment horizontal="center" vertical="center"/>
    </xf>
    <xf numFmtId="172" fontId="0" fillId="35"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0" xfId="0" applyNumberFormat="1" applyFill="1" applyBorder="1" applyAlignment="1">
      <alignment horizontal="center" vertical="center"/>
    </xf>
    <xf numFmtId="0" fontId="0" fillId="0" borderId="15" xfId="0" applyBorder="1" applyAlignment="1">
      <alignment vertical="center"/>
    </xf>
    <xf numFmtId="0" fontId="0" fillId="0" borderId="16" xfId="0" applyBorder="1" applyAlignment="1">
      <alignment/>
    </xf>
    <xf numFmtId="0" fontId="0" fillId="0" borderId="16" xfId="0" applyBorder="1" applyAlignment="1">
      <alignment horizontal="center"/>
    </xf>
    <xf numFmtId="0" fontId="0" fillId="0" borderId="11" xfId="0" applyBorder="1" applyAlignment="1">
      <alignment horizontal="center"/>
    </xf>
    <xf numFmtId="0" fontId="0" fillId="37" borderId="25" xfId="0" applyFill="1" applyBorder="1" applyAlignment="1">
      <alignment horizontal="center" vertical="center"/>
    </xf>
    <xf numFmtId="0" fontId="46" fillId="37" borderId="25" xfId="0" applyFont="1" applyFill="1" applyBorder="1" applyAlignment="1">
      <alignment horizontal="center" vertical="center"/>
    </xf>
    <xf numFmtId="0" fontId="46" fillId="35" borderId="25" xfId="0" applyFont="1" applyFill="1" applyBorder="1" applyAlignment="1">
      <alignment horizontal="center" vertical="center"/>
    </xf>
    <xf numFmtId="0" fontId="0" fillId="35" borderId="25" xfId="0" applyFill="1" applyBorder="1" applyAlignment="1">
      <alignment horizontal="center" vertical="center"/>
    </xf>
    <xf numFmtId="1" fontId="0" fillId="38" borderId="25" xfId="0" applyNumberFormat="1" applyFill="1" applyBorder="1" applyAlignment="1">
      <alignment horizontal="center" vertical="center"/>
    </xf>
    <xf numFmtId="173" fontId="0" fillId="38" borderId="25" xfId="0" applyNumberFormat="1" applyFill="1" applyBorder="1" applyAlignment="1">
      <alignment horizontal="center" vertical="center"/>
    </xf>
    <xf numFmtId="0" fontId="0" fillId="38" borderId="25" xfId="0" applyFill="1" applyBorder="1" applyAlignment="1">
      <alignment horizontal="center" vertical="center" wrapText="1"/>
    </xf>
    <xf numFmtId="0" fontId="0" fillId="38" borderId="25" xfId="0" applyFill="1" applyBorder="1" applyAlignment="1">
      <alignment horizontal="center" vertical="center"/>
    </xf>
    <xf numFmtId="0" fontId="46" fillId="37" borderId="25" xfId="0" applyFont="1" applyFill="1" applyBorder="1" applyAlignment="1">
      <alignment horizontal="center" vertical="center"/>
    </xf>
    <xf numFmtId="1" fontId="0" fillId="37" borderId="25" xfId="0" applyNumberFormat="1" applyFill="1" applyBorder="1" applyAlignment="1">
      <alignment horizontal="center" vertical="center"/>
    </xf>
    <xf numFmtId="173" fontId="0" fillId="37" borderId="25" xfId="0" applyNumberFormat="1" applyFill="1" applyBorder="1" applyAlignment="1">
      <alignment horizontal="center" vertical="center"/>
    </xf>
    <xf numFmtId="0" fontId="0" fillId="37" borderId="25" xfId="0" applyFill="1" applyBorder="1" applyAlignment="1">
      <alignment horizontal="center" vertical="center" wrapText="1"/>
    </xf>
    <xf numFmtId="0" fontId="0" fillId="0" borderId="25" xfId="0" applyFill="1" applyBorder="1" applyAlignment="1">
      <alignment horizontal="center" vertical="center"/>
    </xf>
    <xf numFmtId="0" fontId="0" fillId="13" borderId="25" xfId="0" applyFill="1" applyBorder="1" applyAlignment="1">
      <alignment horizontal="center" vertical="center"/>
    </xf>
    <xf numFmtId="0" fontId="0" fillId="13" borderId="25" xfId="0" applyFont="1" applyFill="1" applyBorder="1" applyAlignment="1">
      <alignment horizontal="center" vertical="center"/>
    </xf>
    <xf numFmtId="0" fontId="0" fillId="13" borderId="25" xfId="0" applyFill="1" applyBorder="1" applyAlignment="1">
      <alignment horizontal="center" vertical="center" wrapText="1"/>
    </xf>
    <xf numFmtId="0" fontId="0" fillId="0" borderId="25" xfId="0" applyBorder="1" applyAlignment="1">
      <alignment horizontal="center" vertical="center"/>
    </xf>
    <xf numFmtId="1" fontId="0" fillId="0" borderId="25" xfId="0" applyNumberFormat="1" applyBorder="1" applyAlignment="1">
      <alignment horizontal="center" vertical="center"/>
    </xf>
    <xf numFmtId="173" fontId="0" fillId="0" borderId="25" xfId="0" applyNumberFormat="1" applyBorder="1" applyAlignment="1">
      <alignment horizontal="center" vertical="center"/>
    </xf>
    <xf numFmtId="0" fontId="0" fillId="0" borderId="25" xfId="0" applyBorder="1" applyAlignment="1">
      <alignment horizontal="center" vertical="center" wrapText="1"/>
    </xf>
    <xf numFmtId="0" fontId="51" fillId="0" borderId="25" xfId="0" applyFont="1" applyBorder="1" applyAlignment="1">
      <alignment horizontal="center" vertical="center"/>
    </xf>
    <xf numFmtId="0" fontId="0" fillId="0" borderId="25" xfId="0" applyFill="1" applyBorder="1" applyAlignment="1">
      <alignment horizontal="center" vertical="center" wrapText="1"/>
    </xf>
    <xf numFmtId="0" fontId="7" fillId="13" borderId="25" xfId="0" applyFont="1" applyFill="1" applyBorder="1" applyAlignment="1">
      <alignment horizontal="center" vertical="center" wrapText="1"/>
    </xf>
    <xf numFmtId="0" fontId="0" fillId="3" borderId="25" xfId="0" applyFill="1" applyBorder="1" applyAlignment="1">
      <alignment horizontal="center" vertical="center"/>
    </xf>
    <xf numFmtId="0" fontId="7" fillId="3" borderId="2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46" fillId="0" borderId="25" xfId="0" applyFont="1" applyFill="1" applyBorder="1" applyAlignment="1">
      <alignment horizontal="center" vertical="center"/>
    </xf>
    <xf numFmtId="173" fontId="0" fillId="3" borderId="25" xfId="0" applyNumberFormat="1" applyFill="1" applyBorder="1" applyAlignment="1">
      <alignment horizontal="center" vertical="center"/>
    </xf>
    <xf numFmtId="0" fontId="0" fillId="35" borderId="25" xfId="0" applyFill="1" applyBorder="1" applyAlignment="1">
      <alignment horizontal="center" vertical="center"/>
    </xf>
    <xf numFmtId="0" fontId="0" fillId="35" borderId="25" xfId="0" applyFill="1" applyBorder="1" applyAlignment="1">
      <alignment horizontal="center" vertical="center" wrapText="1"/>
    </xf>
    <xf numFmtId="0" fontId="0" fillId="35" borderId="25" xfId="0" applyFont="1" applyFill="1" applyBorder="1" applyAlignment="1">
      <alignment horizontal="center" vertical="center" wrapText="1"/>
    </xf>
    <xf numFmtId="1" fontId="0" fillId="35" borderId="25" xfId="0" applyNumberFormat="1" applyFill="1" applyBorder="1" applyAlignment="1">
      <alignment horizontal="center" vertical="center"/>
    </xf>
    <xf numFmtId="173" fontId="0" fillId="35" borderId="25" xfId="0" applyNumberFormat="1" applyFill="1" applyBorder="1" applyAlignment="1">
      <alignment horizontal="center" vertical="center"/>
    </xf>
    <xf numFmtId="0" fontId="46" fillId="35" borderId="25" xfId="0" applyFont="1" applyFill="1" applyBorder="1" applyAlignment="1">
      <alignment horizontal="right" vertical="center"/>
    </xf>
    <xf numFmtId="172" fontId="46" fillId="35" borderId="25" xfId="0" applyNumberFormat="1" applyFont="1" applyFill="1" applyBorder="1" applyAlignment="1">
      <alignment horizontal="center" vertical="center"/>
    </xf>
    <xf numFmtId="0" fontId="46" fillId="35" borderId="25" xfId="0" applyFont="1" applyFill="1" applyBorder="1" applyAlignment="1">
      <alignment horizontal="center" vertical="center" wrapText="1"/>
    </xf>
    <xf numFmtId="174" fontId="0" fillId="0" borderId="25" xfId="0" applyNumberFormat="1" applyFill="1" applyBorder="1" applyAlignment="1">
      <alignment horizontal="center" vertical="center"/>
    </xf>
    <xf numFmtId="1" fontId="7" fillId="0" borderId="25" xfId="0" applyNumberFormat="1" applyFont="1" applyBorder="1" applyAlignment="1">
      <alignment horizontal="center" vertical="center"/>
    </xf>
    <xf numFmtId="0" fontId="7" fillId="0" borderId="25" xfId="0" applyFont="1" applyBorder="1" applyAlignment="1">
      <alignment horizontal="center" vertical="center" wrapText="1"/>
    </xf>
    <xf numFmtId="0" fontId="0" fillId="36" borderId="25" xfId="0" applyFont="1" applyFill="1" applyBorder="1" applyAlignment="1">
      <alignment horizontal="center" vertical="center"/>
    </xf>
    <xf numFmtId="1" fontId="0" fillId="13"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0" xfId="0" applyNumberFormat="1" applyFill="1" applyBorder="1" applyAlignment="1">
      <alignment horizontal="center" vertical="center"/>
    </xf>
    <xf numFmtId="1" fontId="0" fillId="33" borderId="0" xfId="0" applyNumberFormat="1" applyFill="1" applyAlignment="1">
      <alignment horizontal="right"/>
    </xf>
    <xf numFmtId="0" fontId="0" fillId="33" borderId="0" xfId="0" applyFill="1" applyAlignment="1">
      <alignment horizontal="right"/>
    </xf>
    <xf numFmtId="165" fontId="0" fillId="33" borderId="0" xfId="0" applyNumberFormat="1" applyFill="1" applyAlignment="1">
      <alignment horizontal="right"/>
    </xf>
    <xf numFmtId="1" fontId="0" fillId="33" borderId="0" xfId="0" applyNumberFormat="1" applyFill="1" applyAlignment="1" quotePrefix="1">
      <alignment horizontal="right"/>
    </xf>
    <xf numFmtId="173" fontId="0" fillId="33" borderId="0" xfId="0" applyNumberFormat="1" applyFill="1" applyAlignment="1">
      <alignment horizontal="right"/>
    </xf>
    <xf numFmtId="0" fontId="0" fillId="33" borderId="0" xfId="0" applyFill="1" applyAlignment="1">
      <alignment horizontal="right" wrapText="1"/>
    </xf>
    <xf numFmtId="3" fontId="0" fillId="0" borderId="10" xfId="0" applyNumberFormat="1" applyBorder="1" applyAlignment="1">
      <alignment horizontal="center" vertical="center"/>
    </xf>
    <xf numFmtId="173" fontId="0" fillId="0" borderId="11" xfId="0" applyNumberFormat="1" applyBorder="1" applyAlignment="1">
      <alignment horizontal="center" vertical="center"/>
    </xf>
    <xf numFmtId="0" fontId="0" fillId="38" borderId="25" xfId="0" applyFont="1" applyFill="1" applyBorder="1" applyAlignment="1">
      <alignment horizontal="center" vertical="center"/>
    </xf>
    <xf numFmtId="173" fontId="0" fillId="38" borderId="25" xfId="0" applyNumberFormat="1" applyFont="1" applyFill="1" applyBorder="1" applyAlignment="1">
      <alignment horizontal="center" vertical="center"/>
    </xf>
    <xf numFmtId="0" fontId="46" fillId="38" borderId="25" xfId="0" applyFont="1" applyFill="1" applyBorder="1" applyAlignment="1">
      <alignment horizontal="center" vertical="center"/>
    </xf>
    <xf numFmtId="173" fontId="0" fillId="0" borderId="25" xfId="0" applyNumberFormat="1" applyFont="1" applyBorder="1" applyAlignment="1">
      <alignment horizontal="center" vertical="center"/>
    </xf>
    <xf numFmtId="1" fontId="0" fillId="0" borderId="25" xfId="0" applyNumberFormat="1" applyFont="1" applyBorder="1" applyAlignment="1">
      <alignment horizontal="center" vertical="center"/>
    </xf>
    <xf numFmtId="1" fontId="0" fillId="38"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173" fontId="0" fillId="0" borderId="25" xfId="0" applyNumberFormat="1" applyFont="1" applyFill="1" applyBorder="1" applyAlignment="1">
      <alignment horizontal="center" vertical="center"/>
    </xf>
    <xf numFmtId="0" fontId="46" fillId="34" borderId="25" xfId="0" applyFont="1" applyFill="1" applyBorder="1" applyAlignment="1">
      <alignment horizontal="center" vertical="center"/>
    </xf>
    <xf numFmtId="0" fontId="46" fillId="34" borderId="25" xfId="0" applyFont="1" applyFill="1" applyBorder="1" applyAlignment="1">
      <alignment horizontal="center" vertical="center" wrapText="1"/>
    </xf>
    <xf numFmtId="0" fontId="0" fillId="34" borderId="25" xfId="0" applyFont="1" applyFill="1" applyBorder="1" applyAlignment="1">
      <alignment horizontal="center" vertical="center"/>
    </xf>
    <xf numFmtId="173" fontId="0" fillId="34" borderId="25" xfId="0" applyNumberFormat="1" applyFont="1" applyFill="1" applyBorder="1" applyAlignment="1">
      <alignment horizontal="center" vertical="center"/>
    </xf>
    <xf numFmtId="1" fontId="0" fillId="34" borderId="25" xfId="0" applyNumberFormat="1" applyFont="1" applyFill="1" applyBorder="1" applyAlignment="1">
      <alignment horizontal="center" vertical="center"/>
    </xf>
    <xf numFmtId="0" fontId="0" fillId="34" borderId="25" xfId="0" applyFill="1" applyBorder="1" applyAlignment="1">
      <alignment horizontal="center" vertical="center"/>
    </xf>
    <xf numFmtId="0" fontId="51" fillId="0" borderId="25" xfId="0" applyFont="1" applyFill="1" applyBorder="1" applyAlignment="1">
      <alignment horizontal="center" vertical="center"/>
    </xf>
    <xf numFmtId="0" fontId="52" fillId="34" borderId="25" xfId="0" applyFont="1" applyFill="1" applyBorder="1" applyAlignment="1">
      <alignment horizontal="center" vertical="center"/>
    </xf>
    <xf numFmtId="2" fontId="0"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3" fillId="0" borderId="25" xfId="0" applyFont="1" applyBorder="1" applyAlignment="1">
      <alignment horizontal="center" vertical="center" wrapText="1"/>
    </xf>
    <xf numFmtId="0" fontId="0" fillId="39" borderId="25" xfId="0" applyFill="1" applyBorder="1" applyAlignment="1">
      <alignment horizontal="center" vertical="center" wrapText="1"/>
    </xf>
    <xf numFmtId="0" fontId="0" fillId="34" borderId="25" xfId="0" applyFill="1" applyBorder="1" applyAlignment="1">
      <alignment horizontal="center" vertical="center" wrapText="1"/>
    </xf>
    <xf numFmtId="173" fontId="0" fillId="0" borderId="25" xfId="44" applyNumberFormat="1" applyFont="1" applyBorder="1" applyAlignment="1">
      <alignment horizontal="center" vertical="center"/>
    </xf>
    <xf numFmtId="1" fontId="46" fillId="37" borderId="25" xfId="0" applyNumberFormat="1" applyFont="1" applyFill="1" applyBorder="1" applyAlignment="1">
      <alignment horizontal="center" vertical="center" wrapText="1"/>
    </xf>
    <xf numFmtId="173" fontId="46" fillId="37" borderId="25" xfId="0" applyNumberFormat="1" applyFont="1" applyFill="1" applyBorder="1" applyAlignment="1">
      <alignment horizontal="center" vertical="center"/>
    </xf>
    <xf numFmtId="0" fontId="0" fillId="36" borderId="25" xfId="0" applyFill="1" applyBorder="1" applyAlignment="1">
      <alignment horizontal="center" vertical="center"/>
    </xf>
    <xf numFmtId="0" fontId="0" fillId="3" borderId="25" xfId="0" applyFill="1" applyBorder="1" applyAlignment="1">
      <alignment horizontal="center" vertical="center" wrapText="1"/>
    </xf>
    <xf numFmtId="0" fontId="51" fillId="36" borderId="25" xfId="0" applyFont="1" applyFill="1" applyBorder="1" applyAlignment="1">
      <alignment horizontal="center" vertical="center"/>
    </xf>
    <xf numFmtId="0" fontId="0" fillId="13" borderId="31" xfId="0" applyFill="1" applyBorder="1" applyAlignment="1">
      <alignment vertical="center"/>
    </xf>
    <xf numFmtId="0" fontId="0" fillId="13" borderId="32" xfId="0" applyFill="1" applyBorder="1" applyAlignment="1">
      <alignment vertical="center"/>
    </xf>
    <xf numFmtId="0" fontId="0" fillId="13" borderId="33" xfId="0" applyFill="1" applyBorder="1" applyAlignment="1">
      <alignment vertical="center"/>
    </xf>
    <xf numFmtId="0" fontId="51" fillId="0" borderId="34" xfId="0" applyFont="1" applyBorder="1" applyAlignment="1">
      <alignment horizontal="center" vertical="center"/>
    </xf>
    <xf numFmtId="173" fontId="0" fillId="3" borderId="25" xfId="0" applyNumberFormat="1" applyFont="1" applyFill="1" applyBorder="1" applyAlignment="1">
      <alignment horizontal="center" vertical="center"/>
    </xf>
    <xf numFmtId="1" fontId="0" fillId="3" borderId="25"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0" fillId="35" borderId="25" xfId="0" applyFont="1" applyFill="1" applyBorder="1" applyAlignment="1">
      <alignment horizontal="center" vertical="center"/>
    </xf>
    <xf numFmtId="173" fontId="0" fillId="35" borderId="25"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73" fontId="7" fillId="0" borderId="25" xfId="0" applyNumberFormat="1" applyFont="1" applyBorder="1" applyAlignment="1">
      <alignment horizontal="center" vertical="center"/>
    </xf>
    <xf numFmtId="175" fontId="0" fillId="0" borderId="25" xfId="0" applyNumberFormat="1" applyBorder="1" applyAlignment="1">
      <alignment horizontal="center" vertical="center"/>
    </xf>
    <xf numFmtId="1" fontId="0" fillId="3" borderId="25" xfId="0" applyNumberFormat="1" applyFill="1" applyBorder="1" applyAlignment="1">
      <alignment horizontal="center" vertical="center"/>
    </xf>
    <xf numFmtId="0" fontId="7" fillId="0" borderId="25" xfId="0" applyFont="1" applyFill="1" applyBorder="1" applyAlignment="1">
      <alignment horizontal="center" vertical="center" wrapText="1"/>
    </xf>
    <xf numFmtId="0" fontId="0" fillId="35" borderId="25" xfId="0" applyFill="1" applyBorder="1" applyAlignment="1">
      <alignment horizontal="center" vertical="center" wrapText="1"/>
    </xf>
    <xf numFmtId="1" fontId="0" fillId="13"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0" xfId="0" applyNumberFormat="1" applyFill="1" applyBorder="1" applyAlignment="1">
      <alignment horizontal="center" vertical="center"/>
    </xf>
    <xf numFmtId="173" fontId="0" fillId="33" borderId="25" xfId="0" applyNumberFormat="1" applyFont="1" applyFill="1" applyBorder="1" applyAlignment="1">
      <alignment horizontal="center" vertical="center"/>
    </xf>
    <xf numFmtId="0" fontId="0" fillId="0" borderId="13" xfId="0" applyBorder="1" applyAlignment="1">
      <alignment horizontal="center" vertical="center" wrapText="1"/>
    </xf>
    <xf numFmtId="0" fontId="0" fillId="37" borderId="25" xfId="0" applyFill="1" applyBorder="1" applyAlignment="1">
      <alignment vertical="center"/>
    </xf>
    <xf numFmtId="1"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72" fontId="46" fillId="37" borderId="25" xfId="0" applyNumberFormat="1" applyFont="1" applyFill="1" applyBorder="1" applyAlignment="1">
      <alignment horizontal="center" vertical="center" wrapText="1"/>
    </xf>
    <xf numFmtId="0" fontId="46" fillId="37" borderId="25" xfId="0" applyFont="1" applyFill="1" applyBorder="1" applyAlignment="1">
      <alignment horizontal="center" vertical="center"/>
    </xf>
    <xf numFmtId="0" fontId="0" fillId="33" borderId="25" xfId="0" applyFill="1" applyBorder="1" applyAlignment="1">
      <alignment/>
    </xf>
    <xf numFmtId="0" fontId="0" fillId="33" borderId="25" xfId="0" applyFill="1" applyBorder="1" applyAlignment="1">
      <alignment horizontal="center"/>
    </xf>
    <xf numFmtId="1" fontId="0" fillId="33" borderId="25" xfId="0" applyNumberFormat="1" applyFill="1" applyBorder="1" applyAlignment="1">
      <alignment/>
    </xf>
    <xf numFmtId="173" fontId="0" fillId="33" borderId="25" xfId="0" applyNumberFormat="1" applyFill="1" applyBorder="1" applyAlignment="1">
      <alignment/>
    </xf>
    <xf numFmtId="0" fontId="0" fillId="33" borderId="25" xfId="0" applyFill="1" applyBorder="1" applyAlignment="1">
      <alignment wrapText="1"/>
    </xf>
    <xf numFmtId="1" fontId="0" fillId="35" borderId="35" xfId="0" applyNumberFormat="1" applyFill="1" applyBorder="1" applyAlignment="1">
      <alignment vertical="center"/>
    </xf>
    <xf numFmtId="1" fontId="0" fillId="35" borderId="36" xfId="0" applyNumberFormat="1" applyFill="1" applyBorder="1" applyAlignment="1">
      <alignment vertical="center"/>
    </xf>
    <xf numFmtId="1" fontId="0" fillId="37" borderId="37" xfId="0" applyNumberFormat="1" applyFill="1" applyBorder="1" applyAlignment="1">
      <alignment vertical="center"/>
    </xf>
    <xf numFmtId="1" fontId="0" fillId="37" borderId="38" xfId="0" applyNumberFormat="1" applyFill="1" applyBorder="1" applyAlignment="1">
      <alignment vertical="center"/>
    </xf>
    <xf numFmtId="1" fontId="0" fillId="37" borderId="39" xfId="0" applyNumberFormat="1" applyFill="1" applyBorder="1" applyAlignment="1">
      <alignment vertical="center"/>
    </xf>
    <xf numFmtId="1" fontId="0" fillId="37" borderId="40" xfId="0" applyNumberFormat="1" applyFill="1" applyBorder="1" applyAlignment="1">
      <alignment vertical="center"/>
    </xf>
    <xf numFmtId="0" fontId="0" fillId="37" borderId="25" xfId="0" applyFill="1" applyBorder="1" applyAlignment="1">
      <alignment/>
    </xf>
    <xf numFmtId="0" fontId="0" fillId="37" borderId="25" xfId="0" applyFill="1" applyBorder="1" applyAlignment="1">
      <alignment horizontal="center"/>
    </xf>
    <xf numFmtId="172" fontId="0" fillId="37" borderId="25" xfId="0" applyNumberFormat="1" applyFill="1" applyBorder="1" applyAlignment="1">
      <alignment/>
    </xf>
    <xf numFmtId="0" fontId="0" fillId="37" borderId="25" xfId="0" applyFill="1" applyBorder="1" applyAlignment="1">
      <alignment/>
    </xf>
    <xf numFmtId="0" fontId="46" fillId="37" borderId="25" xfId="0" applyFont="1" applyFill="1" applyBorder="1" applyAlignment="1">
      <alignment horizontal="center" vertical="center" textRotation="90"/>
    </xf>
    <xf numFmtId="0" fontId="46" fillId="37" borderId="25" xfId="0" applyFont="1" applyFill="1" applyBorder="1" applyAlignment="1">
      <alignment horizontal="center" vertical="center" textRotation="90" wrapText="1"/>
    </xf>
    <xf numFmtId="0" fontId="46" fillId="37" borderId="25" xfId="0" applyFont="1" applyFill="1" applyBorder="1" applyAlignment="1">
      <alignment horizontal="center" vertical="center" wrapText="1"/>
    </xf>
    <xf numFmtId="0" fontId="0" fillId="0" borderId="25" xfId="0" applyBorder="1" applyAlignment="1">
      <alignment horizontal="center" vertical="center"/>
    </xf>
    <xf numFmtId="173" fontId="46" fillId="37" borderId="25" xfId="0" applyNumberFormat="1" applyFont="1" applyFill="1" applyBorder="1" applyAlignment="1">
      <alignment horizontal="center" vertical="center"/>
    </xf>
    <xf numFmtId="172" fontId="0" fillId="37" borderId="25" xfId="0" applyNumberFormat="1" applyFill="1" applyBorder="1" applyAlignment="1">
      <alignment horizontal="center" vertical="center" wrapText="1"/>
    </xf>
    <xf numFmtId="0" fontId="0" fillId="37" borderId="25" xfId="0" applyFill="1" applyBorder="1" applyAlignment="1">
      <alignment horizontal="center" vertical="center"/>
    </xf>
    <xf numFmtId="173" fontId="0" fillId="34" borderId="11" xfId="0" applyNumberFormat="1" applyFill="1" applyBorder="1" applyAlignment="1">
      <alignment horizontal="center" vertical="center"/>
    </xf>
    <xf numFmtId="0" fontId="0" fillId="36" borderId="14" xfId="0" applyFill="1" applyBorder="1" applyAlignment="1">
      <alignment horizontal="center" vertical="center"/>
    </xf>
    <xf numFmtId="173" fontId="0" fillId="36" borderId="0" xfId="0" applyNumberFormat="1" applyFill="1" applyBorder="1" applyAlignment="1">
      <alignment horizontal="center" vertical="center"/>
    </xf>
    <xf numFmtId="173" fontId="0" fillId="36" borderId="25" xfId="0" applyNumberFormat="1" applyFill="1" applyBorder="1" applyAlignment="1">
      <alignment horizontal="center" vertical="center"/>
    </xf>
    <xf numFmtId="1" fontId="0" fillId="36" borderId="25" xfId="0" applyNumberFormat="1" applyFill="1" applyBorder="1" applyAlignment="1">
      <alignment horizontal="center" vertical="center"/>
    </xf>
    <xf numFmtId="0" fontId="0" fillId="13" borderId="14" xfId="0" applyFill="1" applyBorder="1" applyAlignment="1">
      <alignment horizontal="center" vertical="center"/>
    </xf>
    <xf numFmtId="173" fontId="0" fillId="13" borderId="0" xfId="0" applyNumberFormat="1" applyFill="1" applyBorder="1" applyAlignment="1">
      <alignment horizontal="center" vertical="center"/>
    </xf>
    <xf numFmtId="0" fontId="0" fillId="35" borderId="15" xfId="0" applyFill="1" applyBorder="1" applyAlignment="1">
      <alignment horizontal="center" vertical="center"/>
    </xf>
    <xf numFmtId="172" fontId="0" fillId="35" borderId="16" xfId="0" applyNumberFormat="1" applyFill="1" applyBorder="1" applyAlignment="1">
      <alignment horizontal="center" vertical="center"/>
    </xf>
    <xf numFmtId="1" fontId="0" fillId="35" borderId="16" xfId="0" applyNumberFormat="1" applyFill="1" applyBorder="1" applyAlignment="1">
      <alignment horizontal="center" vertical="center"/>
    </xf>
    <xf numFmtId="1" fontId="0" fillId="35" borderId="11" xfId="0" applyNumberFormat="1" applyFill="1" applyBorder="1" applyAlignment="1">
      <alignment horizontal="center" vertical="center"/>
    </xf>
    <xf numFmtId="0" fontId="0" fillId="37" borderId="0" xfId="0" applyFill="1" applyAlignment="1">
      <alignment/>
    </xf>
    <xf numFmtId="0" fontId="0" fillId="37" borderId="0" xfId="0" applyFill="1" applyAlignment="1">
      <alignment horizontal="center"/>
    </xf>
    <xf numFmtId="173" fontId="0" fillId="37" borderId="25" xfId="0" applyNumberFormat="1" applyFill="1" applyBorder="1" applyAlignment="1">
      <alignment/>
    </xf>
    <xf numFmtId="173" fontId="46" fillId="37" borderId="36" xfId="0" applyNumberFormat="1" applyFont="1" applyFill="1" applyBorder="1" applyAlignment="1">
      <alignment horizontal="center" vertical="center" wrapText="1"/>
    </xf>
    <xf numFmtId="173" fontId="52" fillId="40" borderId="34" xfId="0" applyNumberFormat="1" applyFont="1" applyFill="1" applyBorder="1" applyAlignment="1">
      <alignment horizontal="center" vertical="center" wrapText="1"/>
    </xf>
    <xf numFmtId="173" fontId="52" fillId="40" borderId="41" xfId="0" applyNumberFormat="1" applyFont="1" applyFill="1" applyBorder="1" applyAlignment="1">
      <alignment horizontal="center" vertical="center" wrapText="1"/>
    </xf>
    <xf numFmtId="173" fontId="46" fillId="37" borderId="0" xfId="0" applyNumberFormat="1" applyFont="1" applyFill="1" applyBorder="1" applyAlignment="1">
      <alignment horizontal="center" vertical="center" wrapText="1"/>
    </xf>
    <xf numFmtId="0" fontId="46" fillId="35" borderId="25"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5" xfId="0" applyFont="1" applyFill="1" applyBorder="1" applyAlignment="1">
      <alignment horizontal="center" vertical="center"/>
    </xf>
    <xf numFmtId="0" fontId="0" fillId="13" borderId="25" xfId="0" applyFont="1" applyFill="1" applyBorder="1" applyAlignment="1">
      <alignment horizontal="center" vertical="center"/>
    </xf>
    <xf numFmtId="173" fontId="46" fillId="33" borderId="25" xfId="0" applyNumberFormat="1" applyFont="1" applyFill="1" applyBorder="1" applyAlignment="1">
      <alignment horizontal="center" vertical="center" wrapText="1"/>
    </xf>
    <xf numFmtId="1" fontId="46" fillId="33" borderId="25" xfId="0" applyNumberFormat="1" applyFont="1" applyFill="1" applyBorder="1" applyAlignment="1">
      <alignment horizontal="center" vertical="center" wrapText="1"/>
    </xf>
    <xf numFmtId="1" fontId="0" fillId="33" borderId="25" xfId="0" applyNumberFormat="1" applyFill="1" applyBorder="1" applyAlignment="1">
      <alignment horizontal="center" vertical="center"/>
    </xf>
    <xf numFmtId="0" fontId="0" fillId="35" borderId="25" xfId="0" applyFill="1" applyBorder="1" applyAlignment="1">
      <alignment horizontal="center" vertical="center"/>
    </xf>
    <xf numFmtId="172" fontId="0" fillId="35" borderId="25" xfId="0" applyNumberFormat="1" applyFill="1" applyBorder="1" applyAlignment="1">
      <alignment horizontal="center" vertical="center"/>
    </xf>
    <xf numFmtId="1" fontId="0" fillId="35" borderId="25" xfId="0" applyNumberFormat="1" applyFill="1" applyBorder="1" applyAlignment="1">
      <alignment horizontal="center" vertical="center"/>
    </xf>
    <xf numFmtId="0" fontId="46" fillId="35" borderId="25" xfId="0" applyFont="1" applyFill="1" applyBorder="1" applyAlignment="1">
      <alignment horizontal="right" vertical="center"/>
    </xf>
    <xf numFmtId="172" fontId="46" fillId="35" borderId="25" xfId="0" applyNumberFormat="1" applyFont="1" applyFill="1" applyBorder="1" applyAlignment="1">
      <alignment horizontal="center" vertical="center"/>
    </xf>
    <xf numFmtId="1" fontId="46" fillId="35" borderId="25" xfId="0" applyNumberFormat="1" applyFont="1" applyFill="1" applyBorder="1" applyAlignment="1">
      <alignment horizontal="center" vertical="center"/>
    </xf>
    <xf numFmtId="0" fontId="46" fillId="35" borderId="25" xfId="0" applyFont="1" applyFill="1" applyBorder="1" applyAlignment="1">
      <alignment horizontal="center"/>
    </xf>
    <xf numFmtId="0" fontId="0" fillId="35" borderId="25" xfId="0" applyFill="1" applyBorder="1" applyAlignment="1">
      <alignment/>
    </xf>
    <xf numFmtId="0" fontId="0" fillId="35" borderId="25" xfId="0" applyFont="1" applyFill="1" applyBorder="1" applyAlignment="1">
      <alignment wrapText="1"/>
    </xf>
    <xf numFmtId="0" fontId="0" fillId="0" borderId="25" xfId="0" applyFill="1" applyBorder="1" applyAlignment="1">
      <alignment horizontal="center"/>
    </xf>
    <xf numFmtId="0" fontId="0" fillId="0" borderId="25" xfId="0" applyFill="1" applyBorder="1" applyAlignment="1">
      <alignment horizontal="center" vertical="center" wrapText="1"/>
    </xf>
    <xf numFmtId="0" fontId="46" fillId="34" borderId="25" xfId="0" applyFont="1" applyFill="1" applyBorder="1" applyAlignment="1">
      <alignment horizontal="center"/>
    </xf>
    <xf numFmtId="0" fontId="46" fillId="34" borderId="25" xfId="0" applyFont="1" applyFill="1" applyBorder="1" applyAlignment="1">
      <alignment/>
    </xf>
    <xf numFmtId="0" fontId="46" fillId="34" borderId="25" xfId="0" applyFont="1" applyFill="1" applyBorder="1" applyAlignment="1">
      <alignment horizontal="center" vertical="center"/>
    </xf>
    <xf numFmtId="1" fontId="46" fillId="34" borderId="25" xfId="0" applyNumberFormat="1" applyFont="1" applyFill="1" applyBorder="1" applyAlignment="1">
      <alignment horizontal="center" vertical="center"/>
    </xf>
    <xf numFmtId="0" fontId="0" fillId="0" borderId="25" xfId="0" applyBorder="1" applyAlignment="1">
      <alignment horizontal="center"/>
    </xf>
    <xf numFmtId="0" fontId="0" fillId="0" borderId="25" xfId="0" applyBorder="1" applyAlignment="1">
      <alignment/>
    </xf>
    <xf numFmtId="0" fontId="46" fillId="0" borderId="25" xfId="0" applyFont="1" applyBorder="1" applyAlignment="1">
      <alignment horizontal="center" vertical="center"/>
    </xf>
    <xf numFmtId="0" fontId="0" fillId="0" borderId="25" xfId="0" applyFill="1" applyBorder="1" applyAlignment="1">
      <alignment horizontal="center" wrapText="1"/>
    </xf>
    <xf numFmtId="0" fontId="0" fillId="0" borderId="25" xfId="0" applyBorder="1" applyAlignment="1">
      <alignment wrapText="1"/>
    </xf>
    <xf numFmtId="1" fontId="0" fillId="0" borderId="25" xfId="0" applyNumberFormat="1" applyBorder="1" applyAlignment="1">
      <alignment horizontal="center" vertical="center" wrapText="1"/>
    </xf>
    <xf numFmtId="173" fontId="0" fillId="0" borderId="25" xfId="0" applyNumberFormat="1" applyBorder="1" applyAlignment="1">
      <alignment horizontal="center" vertical="center" wrapText="1"/>
    </xf>
    <xf numFmtId="0" fontId="0" fillId="0" borderId="25" xfId="0" applyFont="1" applyBorder="1" applyAlignment="1">
      <alignment horizontal="center" vertical="center" wrapText="1"/>
    </xf>
    <xf numFmtId="0" fontId="51" fillId="0" borderId="25" xfId="0" applyFont="1" applyFill="1" applyBorder="1" applyAlignment="1">
      <alignment horizontal="center"/>
    </xf>
    <xf numFmtId="0" fontId="51" fillId="0" borderId="25" xfId="0" applyFont="1" applyFill="1" applyBorder="1" applyAlignment="1">
      <alignment horizontal="center" vertical="center"/>
    </xf>
    <xf numFmtId="1" fontId="0" fillId="0" borderId="25" xfId="0" applyNumberForma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172" fontId="46" fillId="34" borderId="25" xfId="0" applyNumberFormat="1" applyFont="1" applyFill="1" applyBorder="1" applyAlignment="1">
      <alignment horizontal="center" vertical="center"/>
    </xf>
    <xf numFmtId="173" fontId="46" fillId="34" borderId="25" xfId="0" applyNumberFormat="1" applyFont="1" applyFill="1" applyBorder="1" applyAlignment="1">
      <alignment horizontal="center" vertical="center"/>
    </xf>
    <xf numFmtId="1" fontId="51" fillId="0" borderId="34" xfId="0" applyNumberFormat="1" applyFont="1" applyBorder="1" applyAlignment="1">
      <alignment horizontal="center" vertical="center"/>
    </xf>
    <xf numFmtId="1" fontId="51" fillId="0" borderId="41" xfId="0" applyNumberFormat="1" applyFont="1" applyBorder="1" applyAlignment="1">
      <alignment horizontal="center" vertical="center"/>
    </xf>
    <xf numFmtId="0" fontId="0" fillId="35" borderId="0" xfId="0" applyFill="1" applyAlignment="1">
      <alignment/>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ill="1" applyBorder="1" applyAlignment="1">
      <alignment horizontal="center" vertical="center"/>
    </xf>
    <xf numFmtId="173" fontId="0" fillId="0" borderId="43"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44" xfId="0" applyBorder="1" applyAlignment="1">
      <alignment horizontal="center" vertical="center"/>
    </xf>
    <xf numFmtId="0" fontId="0" fillId="36" borderId="25" xfId="0" applyFill="1" applyBorder="1" applyAlignment="1">
      <alignment horizontal="center" vertical="center" wrapText="1"/>
    </xf>
    <xf numFmtId="0" fontId="0" fillId="36" borderId="25" xfId="0" applyFont="1" applyFill="1" applyBorder="1" applyAlignment="1">
      <alignment horizontal="center" vertical="center"/>
    </xf>
    <xf numFmtId="0" fontId="0" fillId="0" borderId="43" xfId="0" applyBorder="1" applyAlignment="1">
      <alignment horizontal="center" vertical="center" wrapText="1"/>
    </xf>
    <xf numFmtId="0" fontId="46" fillId="35" borderId="12" xfId="0"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wrapText="1"/>
    </xf>
    <xf numFmtId="0" fontId="46" fillId="35" borderId="14" xfId="0" applyFont="1" applyFill="1" applyBorder="1" applyAlignment="1">
      <alignment horizontal="center" vertical="center"/>
    </xf>
    <xf numFmtId="0" fontId="46" fillId="37" borderId="25" xfId="0" applyFont="1" applyFill="1" applyBorder="1" applyAlignment="1">
      <alignment horizontal="center" vertical="center"/>
    </xf>
    <xf numFmtId="0" fontId="46" fillId="35" borderId="25" xfId="0" applyFont="1" applyFill="1" applyBorder="1" applyAlignment="1">
      <alignment horizontal="center" vertical="center"/>
    </xf>
    <xf numFmtId="172"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1" fontId="7" fillId="0" borderId="25" xfId="0" applyNumberFormat="1" applyFont="1" applyBorder="1" applyAlignment="1">
      <alignment horizontal="center" vertical="center"/>
    </xf>
    <xf numFmtId="173" fontId="0" fillId="0" borderId="25" xfId="0" applyNumberFormat="1" applyBorder="1" applyAlignment="1">
      <alignment horizontal="center" vertical="center"/>
    </xf>
    <xf numFmtId="1" fontId="0" fillId="0" borderId="25" xfId="0" applyNumberFormat="1" applyBorder="1" applyAlignment="1">
      <alignment horizontal="center"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0" fillId="36" borderId="25" xfId="0" applyFill="1" applyBorder="1" applyAlignment="1">
      <alignment horizontal="center" vertical="center"/>
    </xf>
    <xf numFmtId="0" fontId="0" fillId="13" borderId="25" xfId="0" applyFont="1" applyFill="1" applyBorder="1" applyAlignment="1">
      <alignment horizontal="center" vertical="center" wrapText="1"/>
    </xf>
    <xf numFmtId="173" fontId="0" fillId="33" borderId="25" xfId="0" applyNumberFormat="1" applyFont="1" applyFill="1" applyBorder="1" applyAlignment="1">
      <alignment horizontal="center" vertical="center"/>
    </xf>
    <xf numFmtId="173" fontId="0" fillId="0" borderId="25" xfId="0" applyNumberFormat="1" applyFont="1" applyBorder="1" applyAlignment="1">
      <alignment horizontal="center" vertical="center"/>
    </xf>
    <xf numFmtId="0" fontId="0" fillId="0" borderId="25" xfId="0" applyBorder="1" applyAlignment="1">
      <alignment horizontal="center" vertical="center" wrapText="1"/>
    </xf>
    <xf numFmtId="0" fontId="0" fillId="0" borderId="25" xfId="0" applyFont="1" applyBorder="1" applyAlignment="1">
      <alignment horizontal="center" vertical="center"/>
    </xf>
    <xf numFmtId="1" fontId="0" fillId="0" borderId="25" xfId="0" applyNumberFormat="1" applyFont="1" applyBorder="1" applyAlignment="1">
      <alignment horizontal="center" vertical="center"/>
    </xf>
    <xf numFmtId="0" fontId="0" fillId="36" borderId="25" xfId="0" applyFont="1" applyFill="1" applyBorder="1" applyAlignment="1">
      <alignment horizontal="center" vertical="center" wrapText="1"/>
    </xf>
    <xf numFmtId="0" fontId="46" fillId="34" borderId="25" xfId="0" applyFont="1" applyFill="1" applyBorder="1" applyAlignment="1">
      <alignment horizontal="center" vertical="center" wrapText="1"/>
    </xf>
    <xf numFmtId="0" fontId="0" fillId="35" borderId="13" xfId="0" applyFill="1" applyBorder="1" applyAlignment="1">
      <alignment horizontal="center" vertical="center" wrapText="1"/>
    </xf>
    <xf numFmtId="1" fontId="0" fillId="0" borderId="10" xfId="0" applyNumberFormat="1" applyFill="1" applyBorder="1" applyAlignment="1">
      <alignment horizontal="center" vertical="center"/>
    </xf>
    <xf numFmtId="165" fontId="0" fillId="34" borderId="0" xfId="0" applyNumberFormat="1" applyFill="1" applyBorder="1" applyAlignment="1">
      <alignment horizontal="center" vertical="center"/>
    </xf>
    <xf numFmtId="0" fontId="46" fillId="35" borderId="0" xfId="0" applyFont="1" applyFill="1" applyBorder="1" applyAlignment="1">
      <alignment horizontal="center" vertical="center"/>
    </xf>
    <xf numFmtId="0" fontId="0" fillId="35" borderId="0" xfId="0" applyFill="1" applyBorder="1" applyAlignment="1">
      <alignment vertical="center"/>
    </xf>
    <xf numFmtId="0" fontId="0" fillId="35" borderId="10" xfId="0" applyFill="1" applyBorder="1" applyAlignment="1">
      <alignment vertical="center"/>
    </xf>
    <xf numFmtId="0" fontId="0" fillId="34" borderId="0" xfId="0" applyFill="1" applyBorder="1" applyAlignment="1">
      <alignment vertical="center"/>
    </xf>
    <xf numFmtId="0" fontId="0" fillId="34" borderId="10" xfId="0" applyFill="1" applyBorder="1" applyAlignment="1">
      <alignment vertical="center"/>
    </xf>
    <xf numFmtId="1" fontId="0" fillId="34" borderId="16" xfId="0" applyNumberFormat="1" applyFill="1" applyBorder="1" applyAlignment="1">
      <alignment horizontal="center" vertical="center"/>
    </xf>
    <xf numFmtId="0" fontId="0" fillId="34" borderId="11" xfId="0" applyFill="1" applyBorder="1" applyAlignment="1">
      <alignment vertical="center"/>
    </xf>
    <xf numFmtId="173" fontId="7" fillId="0" borderId="0" xfId="0" applyNumberFormat="1" applyFont="1" applyBorder="1" applyAlignment="1">
      <alignment horizontal="center" vertical="center" wrapText="1"/>
    </xf>
    <xf numFmtId="0" fontId="0" fillId="0" borderId="0" xfId="0" applyFill="1" applyAlignment="1">
      <alignment wrapText="1"/>
    </xf>
    <xf numFmtId="1" fontId="0" fillId="34" borderId="16" xfId="0" applyNumberFormat="1" applyFill="1" applyBorder="1" applyAlignment="1">
      <alignment vertical="center"/>
    </xf>
    <xf numFmtId="0" fontId="46" fillId="35" borderId="25" xfId="0" applyFont="1" applyFill="1" applyBorder="1" applyAlignment="1">
      <alignment/>
    </xf>
    <xf numFmtId="0" fontId="46" fillId="33" borderId="25"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0" xfId="0" applyAlignment="1">
      <alignment horizontal="left"/>
    </xf>
    <xf numFmtId="0" fontId="0" fillId="33" borderId="25" xfId="0" applyFill="1" applyBorder="1" applyAlignment="1">
      <alignment horizontal="center" vertical="center" wrapText="1"/>
    </xf>
    <xf numFmtId="0" fontId="7" fillId="0" borderId="13" xfId="0" applyFont="1" applyFill="1" applyBorder="1" applyAlignment="1">
      <alignment horizontal="center" vertical="center" wrapText="1"/>
    </xf>
    <xf numFmtId="0" fontId="53" fillId="0" borderId="0" xfId="0" applyFont="1" applyAlignment="1">
      <alignment horizontal="left" vertical="center"/>
    </xf>
    <xf numFmtId="0" fontId="54" fillId="40" borderId="11" xfId="0" applyFont="1" applyFill="1" applyBorder="1" applyAlignment="1">
      <alignment horizontal="center" vertical="center"/>
    </xf>
    <xf numFmtId="6" fontId="51" fillId="41" borderId="11" xfId="0" applyNumberFormat="1" applyFont="1" applyFill="1" applyBorder="1" applyAlignment="1">
      <alignment horizontal="center" vertical="center"/>
    </xf>
    <xf numFmtId="172" fontId="51" fillId="0" borderId="11" xfId="0" applyNumberFormat="1" applyFont="1" applyBorder="1" applyAlignment="1">
      <alignment horizontal="center" vertical="center"/>
    </xf>
    <xf numFmtId="0" fontId="51" fillId="0" borderId="11" xfId="0" applyFont="1" applyBorder="1" applyAlignment="1">
      <alignment horizontal="center" vertical="center"/>
    </xf>
    <xf numFmtId="172" fontId="51" fillId="41" borderId="11" xfId="0" applyNumberFormat="1" applyFont="1" applyFill="1" applyBorder="1" applyAlignment="1">
      <alignment horizontal="center" vertical="center"/>
    </xf>
    <xf numFmtId="1" fontId="51" fillId="0" borderId="11" xfId="0" applyNumberFormat="1" applyFont="1" applyBorder="1" applyAlignment="1">
      <alignment horizontal="center" vertical="center"/>
    </xf>
    <xf numFmtId="6" fontId="55" fillId="42" borderId="11" xfId="0" applyNumberFormat="1" applyFont="1" applyFill="1" applyBorder="1" applyAlignment="1">
      <alignment horizontal="center" vertical="center"/>
    </xf>
    <xf numFmtId="1" fontId="55" fillId="42" borderId="11" xfId="0" applyNumberFormat="1" applyFont="1" applyFill="1" applyBorder="1" applyAlignment="1">
      <alignment horizontal="center" vertical="center"/>
    </xf>
    <xf numFmtId="1" fontId="51" fillId="41" borderId="11" xfId="0" applyNumberFormat="1" applyFont="1" applyFill="1" applyBorder="1" applyAlignment="1">
      <alignment horizontal="center" vertical="center"/>
    </xf>
    <xf numFmtId="0" fontId="0" fillId="0" borderId="13" xfId="0" applyBorder="1" applyAlignment="1">
      <alignment horizontal="center" vertical="center"/>
    </xf>
    <xf numFmtId="0" fontId="46" fillId="37" borderId="25" xfId="0" applyFont="1" applyFill="1" applyBorder="1" applyAlignment="1">
      <alignment horizontal="center" vertical="center" wrapText="1"/>
    </xf>
    <xf numFmtId="0" fontId="46" fillId="37" borderId="25" xfId="0"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0" fontId="51" fillId="0" borderId="25" xfId="0" applyFont="1" applyBorder="1" applyAlignment="1">
      <alignment horizontal="center" vertical="center"/>
    </xf>
    <xf numFmtId="0" fontId="0" fillId="0" borderId="25" xfId="0" applyBorder="1" applyAlignment="1">
      <alignment horizontal="center" vertical="center"/>
    </xf>
    <xf numFmtId="173" fontId="0" fillId="0" borderId="25" xfId="0" applyNumberFormat="1" applyBorder="1" applyAlignment="1">
      <alignment horizontal="center" vertical="center"/>
    </xf>
    <xf numFmtId="1" fontId="0" fillId="0" borderId="25" xfId="0" applyNumberFormat="1" applyBorder="1" applyAlignment="1">
      <alignment horizontal="center" vertical="center"/>
    </xf>
    <xf numFmtId="172"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5" xfId="0" applyFont="1" applyBorder="1" applyAlignment="1">
      <alignment horizontal="center" vertical="center"/>
    </xf>
    <xf numFmtId="1" fontId="46" fillId="35" borderId="23" xfId="0" applyNumberFormat="1" applyFont="1" applyFill="1" applyBorder="1" applyAlignment="1">
      <alignment horizontal="center" vertical="center"/>
    </xf>
    <xf numFmtId="1" fontId="46" fillId="35" borderId="29" xfId="0" applyNumberFormat="1" applyFont="1" applyFill="1" applyBorder="1" applyAlignment="1">
      <alignment horizontal="center" vertical="center"/>
    </xf>
    <xf numFmtId="6" fontId="52" fillId="43" borderId="11" xfId="0" applyNumberFormat="1" applyFont="1" applyFill="1" applyBorder="1" applyAlignment="1">
      <alignment horizontal="center" vertical="center"/>
    </xf>
    <xf numFmtId="1" fontId="52" fillId="43" borderId="11" xfId="0" applyNumberFormat="1" applyFont="1" applyFill="1" applyBorder="1" applyAlignment="1">
      <alignment horizontal="center" vertical="center"/>
    </xf>
    <xf numFmtId="0" fontId="52" fillId="41" borderId="45" xfId="0" applyFont="1" applyFill="1" applyBorder="1" applyAlignment="1">
      <alignment horizontal="center" vertical="center"/>
    </xf>
    <xf numFmtId="0" fontId="52" fillId="41" borderId="46" xfId="0" applyFont="1" applyFill="1" applyBorder="1" applyAlignment="1">
      <alignment horizontal="center" vertical="center"/>
    </xf>
    <xf numFmtId="0" fontId="55" fillId="42" borderId="12" xfId="0" applyFont="1" applyFill="1" applyBorder="1" applyAlignment="1">
      <alignment horizontal="center" vertical="center"/>
    </xf>
    <xf numFmtId="0" fontId="55" fillId="42" borderId="47" xfId="0" applyFont="1" applyFill="1" applyBorder="1" applyAlignment="1">
      <alignment horizontal="center" vertical="center"/>
    </xf>
    <xf numFmtId="0" fontId="55" fillId="42" borderId="15" xfId="0" applyFont="1" applyFill="1" applyBorder="1" applyAlignment="1">
      <alignment horizontal="center" vertical="center"/>
    </xf>
    <xf numFmtId="0" fontId="55" fillId="42" borderId="48" xfId="0" applyFont="1" applyFill="1" applyBorder="1" applyAlignment="1">
      <alignment horizontal="center" vertical="center"/>
    </xf>
    <xf numFmtId="0" fontId="52" fillId="42" borderId="49" xfId="0" applyFont="1" applyFill="1" applyBorder="1" applyAlignment="1">
      <alignment horizontal="center" vertical="center"/>
    </xf>
    <xf numFmtId="0" fontId="52" fillId="42" borderId="46" xfId="0" applyFont="1" applyFill="1" applyBorder="1" applyAlignment="1">
      <alignment horizontal="center" vertical="center"/>
    </xf>
    <xf numFmtId="0" fontId="52" fillId="42" borderId="45" xfId="0" applyFont="1" applyFill="1" applyBorder="1" applyAlignment="1">
      <alignment horizontal="center" vertical="center"/>
    </xf>
    <xf numFmtId="0" fontId="55" fillId="42" borderId="45" xfId="0" applyFont="1" applyFill="1" applyBorder="1" applyAlignment="1">
      <alignment horizontal="right" vertical="center"/>
    </xf>
    <xf numFmtId="0" fontId="55" fillId="42" borderId="46" xfId="0" applyFont="1" applyFill="1" applyBorder="1" applyAlignment="1">
      <alignment horizontal="right" vertical="center"/>
    </xf>
    <xf numFmtId="173" fontId="0" fillId="0" borderId="13" xfId="0" applyNumberFormat="1" applyFont="1" applyBorder="1" applyAlignment="1">
      <alignment horizontal="center" vertical="center"/>
    </xf>
    <xf numFmtId="0" fontId="0" fillId="0" borderId="13" xfId="0" applyBorder="1" applyAlignment="1">
      <alignment horizontal="center" vertical="center"/>
    </xf>
    <xf numFmtId="0" fontId="0" fillId="13"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Fill="1" applyBorder="1" applyAlignment="1">
      <alignment horizontal="center" vertical="center"/>
    </xf>
    <xf numFmtId="0" fontId="0" fillId="36" borderId="13" xfId="0" applyFill="1" applyBorder="1" applyAlignment="1">
      <alignment horizontal="center" vertical="center"/>
    </xf>
    <xf numFmtId="0" fontId="46" fillId="35" borderId="50" xfId="0" applyFont="1" applyFill="1" applyBorder="1" applyAlignment="1">
      <alignment horizontal="center" vertical="center"/>
    </xf>
    <xf numFmtId="0" fontId="46" fillId="35" borderId="51" xfId="0" applyFont="1" applyFill="1" applyBorder="1" applyAlignment="1">
      <alignment horizontal="center" vertical="center"/>
    </xf>
    <xf numFmtId="0" fontId="46" fillId="37" borderId="52" xfId="0" applyFont="1" applyFill="1" applyBorder="1" applyAlignment="1">
      <alignment horizontal="center" vertical="center"/>
    </xf>
    <xf numFmtId="0" fontId="46" fillId="37" borderId="13" xfId="0" applyFont="1" applyFill="1" applyBorder="1" applyAlignment="1">
      <alignment horizontal="center" vertical="center"/>
    </xf>
    <xf numFmtId="173" fontId="46" fillId="37" borderId="13" xfId="0" applyNumberFormat="1" applyFont="1" applyFill="1" applyBorder="1" applyAlignment="1">
      <alignment horizontal="center" vertical="center" wrapText="1"/>
    </xf>
    <xf numFmtId="0" fontId="0" fillId="36" borderId="13" xfId="0" applyFill="1" applyBorder="1" applyAlignment="1">
      <alignment horizontal="center" vertical="center" wrapText="1"/>
    </xf>
    <xf numFmtId="0" fontId="46" fillId="37" borderId="13" xfId="0" applyFont="1" applyFill="1" applyBorder="1" applyAlignment="1">
      <alignment horizontal="center" vertical="center" wrapText="1"/>
    </xf>
    <xf numFmtId="0" fontId="46" fillId="37" borderId="53" xfId="0" applyFont="1" applyFill="1" applyBorder="1" applyAlignment="1">
      <alignment horizontal="center" vertical="center"/>
    </xf>
    <xf numFmtId="0" fontId="46" fillId="37" borderId="19" xfId="0" applyFont="1" applyFill="1" applyBorder="1" applyAlignment="1">
      <alignment horizontal="center" vertical="center"/>
    </xf>
    <xf numFmtId="0" fontId="46" fillId="37" borderId="18" xfId="0" applyFont="1" applyFill="1" applyBorder="1" applyAlignment="1">
      <alignment horizontal="center" vertical="center"/>
    </xf>
    <xf numFmtId="0" fontId="46" fillId="37" borderId="53"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18" xfId="0" applyFont="1" applyFill="1" applyBorder="1" applyAlignment="1">
      <alignment horizontal="center" vertical="center" wrapText="1"/>
    </xf>
    <xf numFmtId="0" fontId="46" fillId="37" borderId="54" xfId="0" applyFont="1" applyFill="1" applyBorder="1" applyAlignment="1">
      <alignment horizontal="center" vertical="center"/>
    </xf>
    <xf numFmtId="0" fontId="46" fillId="37" borderId="55" xfId="0" applyFont="1" applyFill="1" applyBorder="1" applyAlignment="1">
      <alignment horizontal="center" vertical="center"/>
    </xf>
    <xf numFmtId="0" fontId="46" fillId="37" borderId="56" xfId="0" applyFont="1" applyFill="1" applyBorder="1" applyAlignment="1">
      <alignment horizontal="center" vertical="center"/>
    </xf>
    <xf numFmtId="1" fontId="46" fillId="37" borderId="13" xfId="0" applyNumberFormat="1" applyFont="1" applyFill="1" applyBorder="1" applyAlignment="1">
      <alignment horizontal="center" vertical="center" wrapText="1"/>
    </xf>
    <xf numFmtId="0" fontId="46" fillId="35"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3" xfId="0" applyFont="1" applyFill="1" applyBorder="1" applyAlignment="1">
      <alignment horizontal="center" vertical="center" wrapText="1"/>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Border="1" applyAlignment="1">
      <alignment horizontal="center" vertical="center"/>
    </xf>
    <xf numFmtId="0" fontId="46" fillId="37" borderId="57" xfId="0" applyFont="1" applyFill="1" applyBorder="1" applyAlignment="1">
      <alignment horizontal="center" vertical="center"/>
    </xf>
    <xf numFmtId="0" fontId="46" fillId="37" borderId="58" xfId="0" applyFont="1" applyFill="1" applyBorder="1" applyAlignment="1">
      <alignment horizontal="center" vertical="center"/>
    </xf>
    <xf numFmtId="0" fontId="46" fillId="37" borderId="59" xfId="0" applyFont="1"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46" fillId="37" borderId="63" xfId="0" applyFont="1" applyFill="1" applyBorder="1" applyAlignment="1">
      <alignment horizontal="center" vertical="center" textRotation="90"/>
    </xf>
    <xf numFmtId="0" fontId="46" fillId="37" borderId="64" xfId="0" applyFont="1" applyFill="1" applyBorder="1" applyAlignment="1">
      <alignment horizontal="center" vertical="center" textRotation="90"/>
    </xf>
    <xf numFmtId="0" fontId="46" fillId="37" borderId="65" xfId="0" applyFont="1" applyFill="1" applyBorder="1" applyAlignment="1">
      <alignment horizontal="center" vertical="center" textRotation="90"/>
    </xf>
    <xf numFmtId="0" fontId="46" fillId="37" borderId="53" xfId="0" applyFont="1" applyFill="1" applyBorder="1" applyAlignment="1">
      <alignment horizontal="center" vertical="center" textRotation="90"/>
    </xf>
    <xf numFmtId="0" fontId="46" fillId="37" borderId="19" xfId="0" applyFont="1" applyFill="1" applyBorder="1" applyAlignment="1">
      <alignment horizontal="center" vertical="center" textRotation="90"/>
    </xf>
    <xf numFmtId="0" fontId="46" fillId="37" borderId="18" xfId="0" applyFont="1" applyFill="1" applyBorder="1" applyAlignment="1">
      <alignment horizontal="center" vertical="center" textRotation="90"/>
    </xf>
    <xf numFmtId="0" fontId="46" fillId="37" borderId="53" xfId="0" applyFont="1" applyFill="1" applyBorder="1" applyAlignment="1">
      <alignment horizontal="center" vertical="center" textRotation="90" wrapText="1"/>
    </xf>
    <xf numFmtId="0" fontId="46" fillId="37" borderId="19" xfId="0" applyFont="1" applyFill="1" applyBorder="1" applyAlignment="1">
      <alignment horizontal="center" vertical="center" textRotation="90" wrapText="1"/>
    </xf>
    <xf numFmtId="0" fontId="46" fillId="37" borderId="18" xfId="0" applyFont="1" applyFill="1" applyBorder="1" applyAlignment="1">
      <alignment horizontal="center" vertical="center" textRotation="90" wrapText="1"/>
    </xf>
    <xf numFmtId="0" fontId="46" fillId="37" borderId="66" xfId="0" applyFont="1" applyFill="1" applyBorder="1" applyAlignment="1">
      <alignment horizontal="center" vertical="center"/>
    </xf>
    <xf numFmtId="0" fontId="46" fillId="37" borderId="67" xfId="0" applyFont="1" applyFill="1" applyBorder="1" applyAlignment="1">
      <alignment horizontal="center" vertical="center"/>
    </xf>
    <xf numFmtId="0" fontId="46" fillId="37" borderId="68" xfId="0" applyFont="1" applyFill="1" applyBorder="1" applyAlignment="1">
      <alignment horizontal="center" vertical="center"/>
    </xf>
    <xf numFmtId="0" fontId="46" fillId="37" borderId="69" xfId="0" applyFont="1" applyFill="1" applyBorder="1" applyAlignment="1">
      <alignment horizontal="center" vertical="center"/>
    </xf>
    <xf numFmtId="0" fontId="46" fillId="37" borderId="70" xfId="0" applyFont="1" applyFill="1" applyBorder="1" applyAlignment="1">
      <alignment horizontal="center" vertical="center"/>
    </xf>
    <xf numFmtId="0" fontId="46" fillId="37" borderId="71" xfId="0" applyFont="1" applyFill="1" applyBorder="1" applyAlignment="1">
      <alignment horizontal="center" vertical="center"/>
    </xf>
    <xf numFmtId="0" fontId="0" fillId="37" borderId="13" xfId="0" applyFont="1" applyFill="1" applyBorder="1" applyAlignment="1">
      <alignment horizontal="center" vertical="center" wrapText="1"/>
    </xf>
    <xf numFmtId="0" fontId="46" fillId="35" borderId="14" xfId="0" applyFont="1" applyFill="1" applyBorder="1" applyAlignment="1">
      <alignment horizontal="center" vertical="center"/>
    </xf>
    <xf numFmtId="0" fontId="46" fillId="37" borderId="72" xfId="0" applyFont="1" applyFill="1" applyBorder="1" applyAlignment="1">
      <alignment horizontal="center" vertical="center" textRotation="90"/>
    </xf>
    <xf numFmtId="0" fontId="46" fillId="37" borderId="73" xfId="0" applyFont="1" applyFill="1" applyBorder="1" applyAlignment="1">
      <alignment horizontal="center" vertical="center" textRotation="90"/>
    </xf>
    <xf numFmtId="0" fontId="46" fillId="37" borderId="74" xfId="0" applyFont="1" applyFill="1" applyBorder="1" applyAlignment="1">
      <alignment horizontal="center" vertical="center" textRotation="90"/>
    </xf>
    <xf numFmtId="0" fontId="46" fillId="37" borderId="75" xfId="0" applyFont="1" applyFill="1" applyBorder="1" applyAlignment="1">
      <alignment horizontal="center" vertical="center" textRotation="90"/>
    </xf>
    <xf numFmtId="0" fontId="46" fillId="37" borderId="76" xfId="0" applyFont="1" applyFill="1" applyBorder="1" applyAlignment="1">
      <alignment horizontal="center" vertical="center" textRotation="90"/>
    </xf>
    <xf numFmtId="0" fontId="46" fillId="37" borderId="77" xfId="0" applyFont="1" applyFill="1" applyBorder="1" applyAlignment="1">
      <alignment horizontal="center" vertical="center" textRotation="90"/>
    </xf>
    <xf numFmtId="0" fontId="46" fillId="37" borderId="75" xfId="0" applyFont="1" applyFill="1" applyBorder="1" applyAlignment="1">
      <alignment horizontal="center" vertical="center" textRotation="90" wrapText="1"/>
    </xf>
    <xf numFmtId="0" fontId="46" fillId="37" borderId="76" xfId="0" applyFont="1" applyFill="1" applyBorder="1" applyAlignment="1">
      <alignment horizontal="center" vertical="center" textRotation="90" wrapText="1"/>
    </xf>
    <xf numFmtId="0" fontId="46" fillId="37" borderId="77" xfId="0" applyFont="1" applyFill="1" applyBorder="1" applyAlignment="1">
      <alignment horizontal="center" vertical="center" textRotation="90" wrapText="1"/>
    </xf>
    <xf numFmtId="0" fontId="46" fillId="37" borderId="75" xfId="0" applyFont="1" applyFill="1" applyBorder="1" applyAlignment="1">
      <alignment horizontal="center" vertical="center"/>
    </xf>
    <xf numFmtId="0" fontId="46" fillId="37" borderId="76" xfId="0" applyFont="1" applyFill="1" applyBorder="1" applyAlignment="1">
      <alignment horizontal="center" vertical="center"/>
    </xf>
    <xf numFmtId="0" fontId="46" fillId="37" borderId="77" xfId="0" applyFont="1" applyFill="1" applyBorder="1" applyAlignment="1">
      <alignment horizontal="center" vertical="center"/>
    </xf>
    <xf numFmtId="0" fontId="46" fillId="37" borderId="78" xfId="0" applyFont="1" applyFill="1" applyBorder="1" applyAlignment="1">
      <alignment horizontal="center" vertical="center"/>
    </xf>
    <xf numFmtId="0" fontId="46" fillId="37" borderId="79" xfId="0" applyFont="1" applyFill="1" applyBorder="1" applyAlignment="1">
      <alignment horizontal="center" vertical="center"/>
    </xf>
    <xf numFmtId="0" fontId="46" fillId="37" borderId="80" xfId="0"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81" xfId="0" applyFont="1" applyFill="1" applyBorder="1" applyAlignment="1">
      <alignment horizontal="center" vertical="center"/>
    </xf>
    <xf numFmtId="0" fontId="46" fillId="37" borderId="82" xfId="0" applyFont="1" applyFill="1" applyBorder="1" applyAlignment="1">
      <alignment horizontal="center" vertical="center"/>
    </xf>
    <xf numFmtId="0" fontId="46" fillId="37" borderId="83" xfId="0" applyFont="1" applyFill="1" applyBorder="1" applyAlignment="1">
      <alignment horizontal="center" vertical="center"/>
    </xf>
    <xf numFmtId="0" fontId="46" fillId="37" borderId="84" xfId="0" applyFont="1" applyFill="1" applyBorder="1" applyAlignment="1">
      <alignment horizontal="center" vertical="center"/>
    </xf>
    <xf numFmtId="0" fontId="46" fillId="37" borderId="25" xfId="0" applyFont="1" applyFill="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46" fillId="33" borderId="13" xfId="0" applyFont="1" applyFill="1" applyBorder="1" applyAlignment="1">
      <alignment horizontal="center" vertical="center"/>
    </xf>
    <xf numFmtId="0" fontId="46" fillId="34" borderId="13" xfId="0" applyFont="1" applyFill="1" applyBorder="1" applyAlignment="1">
      <alignment horizontal="center" vertical="center"/>
    </xf>
    <xf numFmtId="0" fontId="46" fillId="0" borderId="13" xfId="0" applyFont="1" applyBorder="1" applyAlignment="1">
      <alignment horizontal="center" vertical="center"/>
    </xf>
    <xf numFmtId="0" fontId="0" fillId="13" borderId="13" xfId="0" applyFill="1" applyBorder="1" applyAlignment="1">
      <alignment horizontal="center" vertical="center"/>
    </xf>
    <xf numFmtId="0" fontId="0" fillId="3" borderId="13" xfId="0" applyFill="1" applyBorder="1" applyAlignment="1">
      <alignment horizontal="center" vertical="center"/>
    </xf>
    <xf numFmtId="0" fontId="56" fillId="34" borderId="13" xfId="0" applyFont="1" applyFill="1" applyBorder="1" applyAlignment="1">
      <alignment horizontal="center" vertical="center"/>
    </xf>
    <xf numFmtId="0" fontId="46" fillId="35" borderId="13" xfId="0" applyFont="1" applyFill="1" applyBorder="1" applyAlignment="1">
      <alignment horizontal="center" vertical="center"/>
    </xf>
    <xf numFmtId="0" fontId="0" fillId="13"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6" fillId="37" borderId="85" xfId="0" applyFont="1" applyFill="1" applyBorder="1" applyAlignment="1">
      <alignment horizontal="center" vertical="center"/>
    </xf>
    <xf numFmtId="0" fontId="46" fillId="37" borderId="86" xfId="0" applyFont="1" applyFill="1" applyBorder="1" applyAlignment="1">
      <alignment horizontal="center" vertical="center"/>
    </xf>
    <xf numFmtId="0" fontId="46" fillId="37" borderId="61" xfId="0" applyFont="1" applyFill="1" applyBorder="1" applyAlignment="1">
      <alignment horizontal="center" vertical="center"/>
    </xf>
    <xf numFmtId="0" fontId="46" fillId="37" borderId="62" xfId="0" applyFont="1" applyFill="1" applyBorder="1" applyAlignment="1">
      <alignment horizontal="center" vertical="center"/>
    </xf>
    <xf numFmtId="0" fontId="46" fillId="37" borderId="17" xfId="0" applyFont="1" applyFill="1" applyBorder="1" applyAlignment="1">
      <alignment horizontal="center" vertical="center"/>
    </xf>
    <xf numFmtId="0" fontId="46" fillId="37" borderId="87" xfId="0" applyFont="1" applyFill="1" applyBorder="1" applyAlignment="1">
      <alignment horizontal="center" vertical="center" textRotation="90"/>
    </xf>
    <xf numFmtId="0" fontId="46" fillId="37" borderId="68" xfId="0" applyFont="1" applyFill="1" applyBorder="1" applyAlignment="1">
      <alignment horizontal="center" vertical="center" textRotation="90"/>
    </xf>
    <xf numFmtId="0" fontId="46" fillId="37" borderId="70" xfId="0" applyFont="1" applyFill="1" applyBorder="1" applyAlignment="1">
      <alignment horizontal="center" vertical="center" textRotation="90"/>
    </xf>
    <xf numFmtId="0" fontId="46" fillId="37" borderId="88" xfId="0" applyFont="1" applyFill="1" applyBorder="1" applyAlignment="1">
      <alignment horizontal="center" vertical="center" textRotation="90"/>
    </xf>
    <xf numFmtId="0" fontId="46" fillId="37" borderId="0" xfId="0" applyFont="1" applyFill="1" applyBorder="1" applyAlignment="1">
      <alignment horizontal="center" vertical="center" textRotation="90"/>
    </xf>
    <xf numFmtId="0" fontId="46" fillId="37" borderId="89" xfId="0" applyFont="1" applyFill="1" applyBorder="1" applyAlignment="1">
      <alignment horizontal="center" vertical="center" textRotation="90"/>
    </xf>
    <xf numFmtId="0" fontId="46" fillId="37" borderId="88" xfId="0" applyFont="1" applyFill="1" applyBorder="1" applyAlignment="1">
      <alignment horizontal="center" vertical="center" textRotation="90" wrapText="1"/>
    </xf>
    <xf numFmtId="0" fontId="46" fillId="37" borderId="0" xfId="0" applyFont="1" applyFill="1" applyBorder="1" applyAlignment="1">
      <alignment horizontal="center" vertical="center" textRotation="90" wrapText="1"/>
    </xf>
    <xf numFmtId="0" fontId="46" fillId="37" borderId="89" xfId="0" applyFont="1" applyFill="1" applyBorder="1" applyAlignment="1">
      <alignment horizontal="center" vertical="center" textRotation="90" wrapText="1"/>
    </xf>
    <xf numFmtId="0" fontId="46" fillId="37" borderId="88"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89" xfId="0" applyFont="1" applyFill="1" applyBorder="1" applyAlignment="1">
      <alignment horizontal="center" vertical="center"/>
    </xf>
    <xf numFmtId="0" fontId="0" fillId="13" borderId="31" xfId="0" applyFill="1" applyBorder="1" applyAlignment="1">
      <alignment horizontal="center" vertical="center"/>
    </xf>
    <xf numFmtId="0" fontId="0" fillId="13" borderId="32" xfId="0" applyFill="1" applyBorder="1" applyAlignment="1">
      <alignment horizontal="center" vertical="center"/>
    </xf>
    <xf numFmtId="0" fontId="0" fillId="0" borderId="45" xfId="0" applyBorder="1" applyAlignment="1">
      <alignment horizontal="left" vertical="center"/>
    </xf>
    <xf numFmtId="0" fontId="0" fillId="0" borderId="90" xfId="0" applyBorder="1" applyAlignment="1">
      <alignment horizontal="left" vertical="center"/>
    </xf>
    <xf numFmtId="0" fontId="0" fillId="0" borderId="46" xfId="0" applyBorder="1" applyAlignment="1">
      <alignment horizontal="left" vertical="center"/>
    </xf>
    <xf numFmtId="0" fontId="7" fillId="13" borderId="31"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46" fillId="35" borderId="25" xfId="0" applyFont="1" applyFill="1" applyBorder="1" applyAlignment="1">
      <alignment horizontal="center" vertical="center"/>
    </xf>
    <xf numFmtId="172"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1" fontId="7" fillId="0" borderId="25" xfId="0" applyNumberFormat="1" applyFont="1" applyBorder="1" applyAlignment="1">
      <alignment horizontal="center" vertical="center"/>
    </xf>
    <xf numFmtId="173" fontId="0" fillId="0" borderId="25" xfId="0" applyNumberFormat="1" applyBorder="1" applyAlignment="1">
      <alignment horizontal="center" vertical="center"/>
    </xf>
    <xf numFmtId="1" fontId="0" fillId="0" borderId="25" xfId="0" applyNumberFormat="1" applyBorder="1" applyAlignment="1">
      <alignment horizontal="center" vertical="center"/>
    </xf>
    <xf numFmtId="173" fontId="0" fillId="0" borderId="43" xfId="0" applyNumberFormat="1" applyBorder="1" applyAlignment="1">
      <alignment horizontal="center" vertical="center"/>
    </xf>
    <xf numFmtId="173" fontId="0" fillId="0" borderId="76" xfId="0" applyNumberFormat="1" applyBorder="1" applyAlignment="1">
      <alignment horizontal="center" vertical="center"/>
    </xf>
    <xf numFmtId="173" fontId="0" fillId="0" borderId="77" xfId="0" applyNumberFormat="1" applyBorder="1" applyAlignment="1">
      <alignment horizontal="center"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1" fontId="46" fillId="37" borderId="31" xfId="0" applyNumberFormat="1" applyFont="1" applyFill="1" applyBorder="1" applyAlignment="1">
      <alignment horizontal="center" vertical="center"/>
    </xf>
    <xf numFmtId="1" fontId="46" fillId="37" borderId="33" xfId="0" applyNumberFormat="1" applyFont="1" applyFill="1" applyBorder="1" applyAlignment="1">
      <alignment horizontal="center" vertical="center"/>
    </xf>
    <xf numFmtId="1" fontId="46" fillId="37" borderId="32" xfId="0" applyNumberFormat="1" applyFont="1" applyFill="1" applyBorder="1" applyAlignment="1">
      <alignment horizontal="center" vertical="center"/>
    </xf>
    <xf numFmtId="0" fontId="46" fillId="37" borderId="43" xfId="0" applyFont="1" applyFill="1" applyBorder="1" applyAlignment="1">
      <alignment horizontal="center" vertical="center" wrapText="1"/>
    </xf>
    <xf numFmtId="0" fontId="46" fillId="37" borderId="76" xfId="0" applyFont="1" applyFill="1" applyBorder="1" applyAlignment="1">
      <alignment horizontal="center" vertical="center" wrapText="1"/>
    </xf>
    <xf numFmtId="0" fontId="46" fillId="37" borderId="77" xfId="0" applyFont="1" applyFill="1" applyBorder="1" applyAlignment="1">
      <alignment horizontal="center" vertical="center" wrapText="1"/>
    </xf>
    <xf numFmtId="0" fontId="46" fillId="37" borderId="43" xfId="0" applyFont="1" applyFill="1" applyBorder="1" applyAlignment="1">
      <alignment horizontal="center" vertical="center"/>
    </xf>
    <xf numFmtId="0" fontId="46" fillId="37" borderId="43" xfId="0" applyFont="1" applyFill="1" applyBorder="1" applyAlignment="1">
      <alignment horizontal="center" vertical="center" textRotation="90"/>
    </xf>
    <xf numFmtId="0" fontId="46" fillId="37" borderId="43" xfId="0" applyFont="1" applyFill="1" applyBorder="1" applyAlignment="1">
      <alignment horizontal="center" vertical="center" textRotation="90" wrapText="1"/>
    </xf>
    <xf numFmtId="0" fontId="46" fillId="37" borderId="35" xfId="0" applyFont="1" applyFill="1" applyBorder="1" applyAlignment="1">
      <alignment horizontal="center" vertical="center"/>
    </xf>
    <xf numFmtId="0" fontId="46" fillId="37" borderId="37" xfId="0" applyFont="1" applyFill="1" applyBorder="1" applyAlignment="1">
      <alignment horizontal="center" vertical="center"/>
    </xf>
    <xf numFmtId="0" fontId="46" fillId="37" borderId="91" xfId="0" applyFont="1" applyFill="1" applyBorder="1" applyAlignment="1">
      <alignment horizontal="center" vertical="center"/>
    </xf>
    <xf numFmtId="0" fontId="46" fillId="37" borderId="92" xfId="0" applyFont="1" applyFill="1" applyBorder="1" applyAlignment="1">
      <alignment horizontal="center" vertical="center"/>
    </xf>
    <xf numFmtId="0" fontId="46" fillId="37" borderId="38" xfId="0" applyFont="1" applyFill="1" applyBorder="1" applyAlignment="1">
      <alignment horizontal="center" vertical="center"/>
    </xf>
    <xf numFmtId="0" fontId="46" fillId="37" borderId="40" xfId="0" applyFont="1" applyFill="1" applyBorder="1" applyAlignment="1">
      <alignment horizontal="center" vertical="center"/>
    </xf>
    <xf numFmtId="0" fontId="0" fillId="36" borderId="25" xfId="0" applyFill="1" applyBorder="1" applyAlignment="1">
      <alignment horizontal="center" vertical="center"/>
    </xf>
    <xf numFmtId="0" fontId="0" fillId="13" borderId="25" xfId="0" applyFont="1" applyFill="1" applyBorder="1" applyAlignment="1">
      <alignment horizontal="center" vertical="center" wrapText="1"/>
    </xf>
    <xf numFmtId="1" fontId="46" fillId="37" borderId="93" xfId="0" applyNumberFormat="1" applyFont="1" applyFill="1" applyBorder="1" applyAlignment="1">
      <alignment horizontal="center" vertical="center"/>
    </xf>
    <xf numFmtId="1" fontId="46" fillId="37" borderId="94" xfId="0" applyNumberFormat="1" applyFont="1" applyFill="1" applyBorder="1" applyAlignment="1">
      <alignment horizontal="center" vertical="center"/>
    </xf>
    <xf numFmtId="1" fontId="46" fillId="37" borderId="95" xfId="0" applyNumberFormat="1" applyFont="1" applyFill="1" applyBorder="1" applyAlignment="1">
      <alignment horizontal="center" vertical="center"/>
    </xf>
    <xf numFmtId="0" fontId="0" fillId="33" borderId="43"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77" xfId="0" applyFill="1" applyBorder="1" applyAlignment="1">
      <alignment horizontal="center" vertical="center" wrapText="1"/>
    </xf>
    <xf numFmtId="0" fontId="0" fillId="0" borderId="43" xfId="0" applyFill="1" applyBorder="1" applyAlignment="1">
      <alignment horizontal="center" vertical="center"/>
    </xf>
    <xf numFmtId="0" fontId="0" fillId="0" borderId="77" xfId="0" applyFill="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13" borderId="33" xfId="0" applyFill="1" applyBorder="1" applyAlignment="1">
      <alignment horizontal="center" vertical="center" wrapText="1"/>
    </xf>
    <xf numFmtId="0" fontId="0" fillId="13" borderId="31" xfId="0" applyFont="1" applyFill="1" applyBorder="1" applyAlignment="1">
      <alignment horizontal="center" vertical="center"/>
    </xf>
    <xf numFmtId="0" fontId="0" fillId="13" borderId="33"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1" xfId="0" applyFont="1" applyFill="1" applyBorder="1" applyAlignment="1">
      <alignment horizontal="center" vertical="center" wrapText="1"/>
    </xf>
    <xf numFmtId="0" fontId="0" fillId="13" borderId="33"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46" fillId="35" borderId="31" xfId="0" applyFont="1" applyFill="1" applyBorder="1" applyAlignment="1">
      <alignment horizontal="center" vertical="center"/>
    </xf>
    <xf numFmtId="0" fontId="46" fillId="35" borderId="33" xfId="0" applyFont="1" applyFill="1" applyBorder="1" applyAlignment="1">
      <alignment horizontal="center" vertical="center"/>
    </xf>
    <xf numFmtId="0" fontId="46" fillId="35" borderId="32" xfId="0" applyFont="1" applyFill="1" applyBorder="1" applyAlignment="1">
      <alignment horizontal="center" vertical="center"/>
    </xf>
    <xf numFmtId="0" fontId="0" fillId="36" borderId="31" xfId="0" applyFill="1" applyBorder="1" applyAlignment="1">
      <alignment horizontal="center" vertical="center" wrapText="1"/>
    </xf>
    <xf numFmtId="0" fontId="0" fillId="36" borderId="33" xfId="0" applyFill="1" applyBorder="1" applyAlignment="1">
      <alignment horizontal="center" vertical="center" wrapText="1"/>
    </xf>
    <xf numFmtId="0" fontId="0" fillId="36" borderId="3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2" xfId="0" applyFill="1" applyBorder="1" applyAlignment="1">
      <alignment horizontal="center" vertical="center" wrapText="1"/>
    </xf>
    <xf numFmtId="0" fontId="0" fillId="36" borderId="31" xfId="0" applyFill="1" applyBorder="1" applyAlignment="1">
      <alignment horizontal="center" vertical="center"/>
    </xf>
    <xf numFmtId="0" fontId="0" fillId="36" borderId="33" xfId="0" applyFill="1" applyBorder="1" applyAlignment="1">
      <alignment horizontal="center" vertical="center"/>
    </xf>
    <xf numFmtId="0" fontId="0" fillId="36" borderId="32" xfId="0" applyFill="1" applyBorder="1" applyAlignment="1">
      <alignment horizontal="center" vertical="center"/>
    </xf>
    <xf numFmtId="0" fontId="0" fillId="13" borderId="33" xfId="0" applyFill="1" applyBorder="1" applyAlignment="1">
      <alignment horizontal="center" vertical="center"/>
    </xf>
    <xf numFmtId="0" fontId="46" fillId="34" borderId="31" xfId="0" applyFont="1" applyFill="1" applyBorder="1" applyAlignment="1">
      <alignment horizontal="left" vertical="center"/>
    </xf>
    <xf numFmtId="0" fontId="46" fillId="34" borderId="33" xfId="0" applyFont="1" applyFill="1" applyBorder="1" applyAlignment="1">
      <alignment horizontal="left" vertical="center"/>
    </xf>
    <xf numFmtId="0" fontId="46" fillId="34" borderId="32" xfId="0" applyFont="1" applyFill="1" applyBorder="1" applyAlignment="1">
      <alignment horizontal="left" vertical="center"/>
    </xf>
    <xf numFmtId="0" fontId="0" fillId="36" borderId="31"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0" borderId="14" xfId="0"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173" fontId="0" fillId="33" borderId="25" xfId="0" applyNumberFormat="1"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3" borderId="3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5" xfId="0" applyBorder="1" applyAlignment="1">
      <alignment horizontal="center" vertical="center" wrapText="1"/>
    </xf>
    <xf numFmtId="173"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0" fillId="36" borderId="3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1" fontId="0" fillId="0" borderId="25" xfId="0" applyNumberFormat="1" applyFont="1" applyBorder="1" applyAlignment="1">
      <alignment horizontal="center" vertical="center"/>
    </xf>
    <xf numFmtId="0" fontId="46" fillId="37" borderId="39" xfId="0" applyFont="1" applyFill="1" applyBorder="1" applyAlignment="1">
      <alignment horizontal="center" vertical="center"/>
    </xf>
    <xf numFmtId="1" fontId="46" fillId="37" borderId="92" xfId="0" applyNumberFormat="1" applyFont="1" applyFill="1" applyBorder="1" applyAlignment="1">
      <alignment horizontal="center" vertical="center" wrapText="1"/>
    </xf>
    <xf numFmtId="1" fontId="46" fillId="37" borderId="40" xfId="0" applyNumberFormat="1" applyFont="1" applyFill="1" applyBorder="1" applyAlignment="1">
      <alignment horizontal="center" vertical="center" wrapText="1"/>
    </xf>
    <xf numFmtId="0" fontId="46" fillId="37" borderId="29" xfId="0" applyFont="1" applyFill="1" applyBorder="1" applyAlignment="1">
      <alignment horizontal="center" vertical="center"/>
    </xf>
    <xf numFmtId="0" fontId="46" fillId="37" borderId="96" xfId="0" applyFont="1" applyFill="1" applyBorder="1" applyAlignment="1">
      <alignment horizontal="center" vertical="center"/>
    </xf>
    <xf numFmtId="0" fontId="46" fillId="37" borderId="29" xfId="0" applyFont="1" applyFill="1" applyBorder="1" applyAlignment="1">
      <alignment horizontal="center" vertical="center" textRotation="90"/>
    </xf>
    <xf numFmtId="0" fontId="46" fillId="37" borderId="96" xfId="0" applyFont="1" applyFill="1" applyBorder="1" applyAlignment="1">
      <alignment horizontal="center" vertical="center" textRotation="90"/>
    </xf>
    <xf numFmtId="0" fontId="46" fillId="37" borderId="84" xfId="0" applyFont="1" applyFill="1" applyBorder="1" applyAlignment="1">
      <alignment horizontal="center" vertical="center" textRotation="90"/>
    </xf>
    <xf numFmtId="0" fontId="46" fillId="37" borderId="29" xfId="0" applyFont="1" applyFill="1" applyBorder="1" applyAlignment="1">
      <alignment horizontal="center" vertical="center" textRotation="90" wrapText="1"/>
    </xf>
    <xf numFmtId="0" fontId="46" fillId="37" borderId="96" xfId="0" applyFont="1" applyFill="1" applyBorder="1" applyAlignment="1">
      <alignment horizontal="center" vertical="center" textRotation="90" wrapText="1"/>
    </xf>
    <xf numFmtId="0" fontId="46" fillId="37" borderId="84" xfId="0" applyFont="1" applyFill="1" applyBorder="1" applyAlignment="1">
      <alignment horizontal="center" vertical="center" textRotation="90"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1" fontId="46" fillId="37" borderId="97" xfId="0" applyNumberFormat="1" applyFont="1" applyFill="1" applyBorder="1" applyAlignment="1">
      <alignment horizontal="center" vertical="center"/>
    </xf>
    <xf numFmtId="1" fontId="46" fillId="37" borderId="98" xfId="0" applyNumberFormat="1" applyFont="1" applyFill="1" applyBorder="1" applyAlignment="1">
      <alignment horizontal="center" vertical="center"/>
    </xf>
    <xf numFmtId="1" fontId="46" fillId="37" borderId="99" xfId="0" applyNumberFormat="1" applyFont="1" applyFill="1" applyBorder="1" applyAlignment="1">
      <alignment horizontal="center" vertical="center"/>
    </xf>
    <xf numFmtId="0" fontId="52" fillId="40" borderId="100" xfId="0" applyFont="1" applyFill="1" applyBorder="1" applyAlignment="1">
      <alignment horizontal="center" vertical="center" wrapText="1"/>
    </xf>
    <xf numFmtId="0" fontId="52" fillId="40" borderId="101" xfId="0" applyFont="1" applyFill="1" applyBorder="1" applyAlignment="1">
      <alignment horizontal="center" vertical="center" wrapText="1"/>
    </xf>
    <xf numFmtId="0" fontId="52" fillId="40" borderId="102" xfId="0" applyFont="1" applyFill="1" applyBorder="1" applyAlignment="1">
      <alignment horizontal="center" vertical="center" wrapText="1"/>
    </xf>
    <xf numFmtId="0" fontId="52" fillId="40" borderId="103" xfId="0" applyFont="1" applyFill="1" applyBorder="1" applyAlignment="1">
      <alignment horizontal="center" vertical="center" wrapText="1"/>
    </xf>
    <xf numFmtId="1" fontId="46" fillId="37" borderId="37" xfId="0" applyNumberFormat="1" applyFont="1" applyFill="1" applyBorder="1" applyAlignment="1">
      <alignment horizontal="center" vertical="center" wrapText="1"/>
    </xf>
    <xf numFmtId="0" fontId="46" fillId="37" borderId="39" xfId="0" applyFont="1" applyFill="1" applyBorder="1" applyAlignment="1">
      <alignment horizontal="center" vertical="center" textRotation="90"/>
    </xf>
    <xf numFmtId="0" fontId="46" fillId="37" borderId="92" xfId="0" applyFont="1" applyFill="1" applyBorder="1" applyAlignment="1">
      <alignment horizontal="center" vertical="center" textRotation="90"/>
    </xf>
    <xf numFmtId="0" fontId="46" fillId="37" borderId="40" xfId="0" applyFont="1" applyFill="1" applyBorder="1" applyAlignment="1">
      <alignment horizontal="center" vertical="center" textRotation="90"/>
    </xf>
    <xf numFmtId="0" fontId="0" fillId="37" borderId="43" xfId="0" applyFill="1" applyBorder="1" applyAlignment="1">
      <alignment horizontal="center" vertical="center"/>
    </xf>
    <xf numFmtId="0" fontId="0" fillId="37" borderId="76" xfId="0" applyFill="1" applyBorder="1" applyAlignment="1">
      <alignment horizontal="center" vertical="center"/>
    </xf>
    <xf numFmtId="0" fontId="0" fillId="37" borderId="77" xfId="0" applyFill="1" applyBorder="1" applyAlignment="1">
      <alignment horizontal="center" vertical="center"/>
    </xf>
    <xf numFmtId="0" fontId="46" fillId="34" borderId="31" xfId="0" applyFont="1" applyFill="1" applyBorder="1" applyAlignment="1">
      <alignment horizontal="center" vertical="center"/>
    </xf>
    <xf numFmtId="0" fontId="46" fillId="34"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46" fillId="34" borderId="25" xfId="0" applyFont="1" applyFill="1" applyBorder="1" applyAlignment="1">
      <alignment horizontal="center" vertical="center" wrapText="1"/>
    </xf>
    <xf numFmtId="1" fontId="46" fillId="37" borderId="39" xfId="0" applyNumberFormat="1" applyFont="1" applyFill="1" applyBorder="1" applyAlignment="1">
      <alignment horizontal="center" vertical="center"/>
    </xf>
    <xf numFmtId="173" fontId="46" fillId="37" borderId="31" xfId="0" applyNumberFormat="1" applyFont="1" applyFill="1" applyBorder="1" applyAlignment="1">
      <alignment horizontal="center" vertical="center" wrapText="1"/>
    </xf>
    <xf numFmtId="173" fontId="46" fillId="37" borderId="32" xfId="0" applyNumberFormat="1" applyFont="1" applyFill="1" applyBorder="1" applyAlignment="1">
      <alignment horizontal="center" vertical="center" wrapText="1"/>
    </xf>
    <xf numFmtId="0" fontId="46" fillId="35" borderId="38" xfId="0" applyFont="1" applyFill="1" applyBorder="1" applyAlignment="1">
      <alignment horizontal="left" vertical="center" wrapText="1"/>
    </xf>
    <xf numFmtId="0" fontId="46" fillId="35" borderId="39" xfId="0" applyFont="1" applyFill="1" applyBorder="1" applyAlignment="1">
      <alignment horizontal="left" vertical="center" wrapText="1"/>
    </xf>
    <xf numFmtId="0" fontId="46" fillId="35" borderId="40" xfId="0" applyFont="1" applyFill="1" applyBorder="1" applyAlignment="1">
      <alignment horizontal="left" vertical="center" wrapText="1"/>
    </xf>
    <xf numFmtId="0" fontId="0" fillId="38" borderId="25" xfId="0" applyFont="1" applyFill="1" applyBorder="1" applyAlignment="1">
      <alignment horizontal="center" vertical="center"/>
    </xf>
    <xf numFmtId="0" fontId="0" fillId="34" borderId="0" xfId="0" applyFont="1" applyFill="1" applyAlignment="1">
      <alignment horizontal="center" vertical="center"/>
    </xf>
    <xf numFmtId="0" fontId="0" fillId="0" borderId="0" xfId="0" applyFont="1" applyFill="1" applyAlignment="1">
      <alignment horizontal="center" vertical="center"/>
    </xf>
    <xf numFmtId="0" fontId="0" fillId="38" borderId="25" xfId="0" applyFill="1" applyBorder="1" applyAlignment="1">
      <alignment horizontal="center" vertical="center"/>
    </xf>
    <xf numFmtId="1" fontId="0" fillId="38" borderId="25" xfId="0" applyNumberFormat="1" applyFill="1" applyBorder="1" applyAlignment="1">
      <alignment horizontal="center" vertical="center"/>
    </xf>
    <xf numFmtId="0" fontId="46" fillId="35" borderId="12" xfId="0" applyFont="1" applyFill="1" applyBorder="1" applyAlignment="1">
      <alignment horizontal="center" vertical="center"/>
    </xf>
    <xf numFmtId="0" fontId="46" fillId="35" borderId="50" xfId="0" applyFont="1" applyFill="1" applyBorder="1" applyAlignment="1">
      <alignment horizontal="center" vertical="center"/>
    </xf>
    <xf numFmtId="0" fontId="46" fillId="35" borderId="51" xfId="0" applyFont="1"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Border="1" applyAlignment="1">
      <alignment horizontal="center" vertical="center"/>
    </xf>
    <xf numFmtId="165" fontId="0" fillId="34" borderId="10" xfId="0" applyNumberFormat="1" applyFill="1" applyBorder="1" applyAlignment="1">
      <alignment horizontal="center" vertical="center"/>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1" xfId="0" applyFill="1" applyBorder="1" applyAlignment="1">
      <alignment horizontal="center" vertical="center"/>
    </xf>
    <xf numFmtId="0" fontId="46" fillId="35" borderId="12" xfId="0" applyFont="1" applyFill="1" applyBorder="1" applyAlignment="1">
      <alignment horizontal="center" vertical="center"/>
    </xf>
    <xf numFmtId="0" fontId="46" fillId="35" borderId="14" xfId="0" applyFont="1" applyFill="1" applyBorder="1" applyAlignment="1">
      <alignment horizontal="center" vertical="center"/>
    </xf>
    <xf numFmtId="0" fontId="0" fillId="36" borderId="14" xfId="0" applyFill="1" applyBorder="1" applyAlignment="1">
      <alignment horizontal="center" vertical="center"/>
    </xf>
    <xf numFmtId="173" fontId="0" fillId="36"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0" fontId="0" fillId="13" borderId="14" xfId="0" applyFill="1" applyBorder="1" applyAlignment="1">
      <alignment horizontal="center" vertical="center"/>
    </xf>
    <xf numFmtId="173" fontId="0" fillId="13" borderId="0" xfId="0" applyNumberFormat="1" applyFill="1" applyBorder="1" applyAlignment="1">
      <alignment horizontal="center" vertical="center"/>
    </xf>
    <xf numFmtId="1" fontId="0" fillId="13" borderId="0" xfId="0" applyNumberFormat="1" applyFill="1" applyBorder="1" applyAlignment="1">
      <alignment horizontal="center" vertical="center"/>
    </xf>
    <xf numFmtId="0" fontId="0" fillId="35" borderId="15" xfId="0" applyFill="1" applyBorder="1" applyAlignment="1">
      <alignment horizontal="center" vertical="center"/>
    </xf>
    <xf numFmtId="172" fontId="0" fillId="35" borderId="16" xfId="0" applyNumberFormat="1" applyFill="1" applyBorder="1" applyAlignment="1">
      <alignment horizontal="center" vertical="center"/>
    </xf>
    <xf numFmtId="1" fontId="0" fillId="35" borderId="16" xfId="0" applyNumberFormat="1" applyFill="1" applyBorder="1" applyAlignment="1">
      <alignment horizontal="center" vertical="center"/>
    </xf>
    <xf numFmtId="0" fontId="46" fillId="35" borderId="25" xfId="0" applyFont="1" applyFill="1" applyBorder="1" applyAlignment="1">
      <alignment horizontal="center" vertical="center"/>
    </xf>
    <xf numFmtId="0" fontId="46" fillId="35" borderId="25" xfId="0" applyFont="1" applyFill="1" applyBorder="1" applyAlignment="1">
      <alignment horizontal="center" vertical="center" textRotation="90"/>
    </xf>
    <xf numFmtId="0" fontId="46" fillId="35" borderId="25" xfId="0" applyFont="1" applyFill="1" applyBorder="1" applyAlignment="1">
      <alignment horizontal="center" vertical="center" textRotation="90" wrapText="1"/>
    </xf>
    <xf numFmtId="0" fontId="46" fillId="35" borderId="31" xfId="0" applyFont="1" applyFill="1" applyBorder="1" applyAlignment="1">
      <alignment horizontal="left" vertical="center"/>
    </xf>
    <xf numFmtId="0" fontId="46" fillId="35" borderId="32" xfId="0" applyFont="1" applyFill="1" applyBorder="1" applyAlignment="1">
      <alignment horizontal="left" vertical="center"/>
    </xf>
    <xf numFmtId="0" fontId="46" fillId="38" borderId="25" xfId="0" applyFont="1" applyFill="1" applyBorder="1" applyAlignment="1">
      <alignment horizontal="center" vertical="center"/>
    </xf>
    <xf numFmtId="173" fontId="0" fillId="38" borderId="25" xfId="0" applyNumberFormat="1" applyFill="1" applyBorder="1" applyAlignment="1">
      <alignment horizontal="center" vertical="center"/>
    </xf>
    <xf numFmtId="0" fontId="0" fillId="38" borderId="25" xfId="0" applyFill="1" applyBorder="1" applyAlignment="1">
      <alignment horizontal="center" vertical="center" wrapText="1"/>
    </xf>
    <xf numFmtId="0" fontId="0" fillId="13" borderId="25" xfId="0" applyFill="1" applyBorder="1" applyAlignment="1">
      <alignment horizontal="center" vertical="center"/>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0" fillId="36" borderId="25" xfId="0" applyFill="1" applyBorder="1" applyAlignment="1">
      <alignment horizontal="center" vertical="center" wrapText="1"/>
    </xf>
    <xf numFmtId="0" fontId="0" fillId="36" borderId="31" xfId="0" applyFill="1" applyBorder="1" applyAlignment="1">
      <alignment horizontal="center" vertical="center"/>
    </xf>
    <xf numFmtId="0" fontId="0" fillId="36" borderId="32" xfId="0" applyFill="1" applyBorder="1" applyAlignment="1">
      <alignment horizontal="center" vertical="center"/>
    </xf>
    <xf numFmtId="0" fontId="0" fillId="35" borderId="25" xfId="0" applyFill="1" applyBorder="1" applyAlignment="1">
      <alignment horizontal="center" vertical="center"/>
    </xf>
    <xf numFmtId="0" fontId="0" fillId="35" borderId="25" xfId="0" applyFill="1" applyBorder="1" applyAlignment="1">
      <alignment horizontal="center" vertical="center" wrapText="1"/>
    </xf>
    <xf numFmtId="0" fontId="46" fillId="38" borderId="25" xfId="0" applyFont="1" applyFill="1" applyBorder="1" applyAlignment="1">
      <alignment horizontal="left" vertical="center"/>
    </xf>
    <xf numFmtId="0" fontId="0" fillId="13" borderId="25" xfId="0" applyFill="1" applyBorder="1" applyAlignment="1">
      <alignment horizontal="center" vertical="center" wrapText="1"/>
    </xf>
    <xf numFmtId="0" fontId="0" fillId="36" borderId="25" xfId="0" applyFill="1" applyBorder="1" applyAlignment="1">
      <alignment horizontal="center" vertical="center"/>
    </xf>
    <xf numFmtId="1" fontId="0" fillId="35" borderId="25" xfId="0" applyNumberFormat="1" applyFill="1" applyBorder="1" applyAlignment="1">
      <alignment horizontal="center" vertical="center"/>
    </xf>
    <xf numFmtId="173" fontId="0" fillId="35" borderId="25" xfId="0" applyNumberFormat="1" applyFill="1" applyBorder="1" applyAlignment="1">
      <alignment horizontal="center" vertical="center"/>
    </xf>
    <xf numFmtId="0" fontId="46" fillId="35" borderId="25" xfId="0" applyFont="1" applyFill="1" applyBorder="1" applyAlignment="1">
      <alignment horizontal="right" vertical="center"/>
    </xf>
    <xf numFmtId="172" fontId="46" fillId="35" borderId="25" xfId="0" applyNumberFormat="1" applyFont="1" applyFill="1" applyBorder="1" applyAlignment="1">
      <alignment horizontal="center" vertical="center"/>
    </xf>
    <xf numFmtId="1" fontId="46" fillId="35" borderId="25" xfId="0" applyNumberFormat="1" applyFont="1" applyFill="1" applyBorder="1" applyAlignment="1">
      <alignment horizontal="center" vertical="center"/>
    </xf>
    <xf numFmtId="0" fontId="46" fillId="35"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H%20MS4%20PAIs%20-%20Rural%20Town%202014%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of Total Costs"/>
      <sheetName val="Public Education"/>
      <sheetName val="Public Participation"/>
      <sheetName val="Good Housekeeping"/>
      <sheetName val="NOI"/>
      <sheetName val="SWMP"/>
      <sheetName val="IDDE"/>
      <sheetName val="Construction Site Control"/>
      <sheetName val="Post Construction Site Control"/>
      <sheetName val="Annual Report"/>
      <sheetName val="Miscellaneous"/>
      <sheetName val="MS4 Stats"/>
      <sheetName val="WQ Analysis Costs"/>
      <sheetName val="Cost Scaling Considerations"/>
    </sheetNames>
    <sheetDataSet>
      <sheetData sheetId="11">
        <row r="10">
          <cell r="B10">
            <v>100</v>
          </cell>
        </row>
        <row r="26">
          <cell r="B2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benmeadows.com/chemets-ammonia-water-test-kit_s_16806-1/" TargetMode="External"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D28" sqref="D28"/>
    </sheetView>
  </sheetViews>
  <sheetFormatPr defaultColWidth="11.421875" defaultRowHeight="15"/>
  <cols>
    <col min="1" max="1" width="38.28125" style="0" bestFit="1" customWidth="1"/>
    <col min="2" max="2" width="13.8515625" style="0" bestFit="1" customWidth="1"/>
    <col min="10" max="10" width="16.28125" style="0" customWidth="1"/>
  </cols>
  <sheetData>
    <row r="1" spans="1:14" ht="28.5" customHeight="1">
      <c r="A1" s="422" t="s">
        <v>581</v>
      </c>
      <c r="B1" s="422"/>
      <c r="C1" s="422"/>
      <c r="D1" s="422"/>
      <c r="E1" s="422"/>
      <c r="F1" s="422"/>
      <c r="I1" s="422" t="s">
        <v>588</v>
      </c>
      <c r="J1" s="422"/>
      <c r="K1" s="422"/>
      <c r="L1" s="422"/>
      <c r="M1" s="422"/>
      <c r="N1" s="422"/>
    </row>
    <row r="2" spans="1:14" ht="28.5" customHeight="1">
      <c r="A2" s="450" t="s">
        <v>582</v>
      </c>
      <c r="B2" s="451"/>
      <c r="C2" s="454" t="s">
        <v>482</v>
      </c>
      <c r="D2" s="455"/>
      <c r="E2" s="456" t="s">
        <v>256</v>
      </c>
      <c r="F2" s="455"/>
      <c r="I2" s="450" t="s">
        <v>582</v>
      </c>
      <c r="J2" s="451"/>
      <c r="K2" s="454" t="s">
        <v>482</v>
      </c>
      <c r="L2" s="455"/>
      <c r="M2" s="456" t="s">
        <v>256</v>
      </c>
      <c r="N2" s="455"/>
    </row>
    <row r="3" spans="1:14" ht="28.5" customHeight="1">
      <c r="A3" s="452"/>
      <c r="B3" s="453"/>
      <c r="C3" s="423" t="s">
        <v>301</v>
      </c>
      <c r="D3" s="423" t="s">
        <v>302</v>
      </c>
      <c r="E3" s="423" t="s">
        <v>301</v>
      </c>
      <c r="F3" s="423" t="s">
        <v>302</v>
      </c>
      <c r="I3" s="452"/>
      <c r="J3" s="453"/>
      <c r="K3" s="423" t="s">
        <v>301</v>
      </c>
      <c r="L3" s="423" t="s">
        <v>302</v>
      </c>
      <c r="M3" s="423" t="s">
        <v>301</v>
      </c>
      <c r="N3" s="423" t="s">
        <v>302</v>
      </c>
    </row>
    <row r="4" spans="1:14" ht="28.5" customHeight="1">
      <c r="A4" s="448" t="s">
        <v>583</v>
      </c>
      <c r="B4" s="449"/>
      <c r="C4" s="424">
        <f>'Public Education'!B11</f>
        <v>9400</v>
      </c>
      <c r="D4" s="425">
        <f>'Public Education'!C11</f>
        <v>70800</v>
      </c>
      <c r="E4" s="426">
        <f>'Public Education'!D11</f>
        <v>94</v>
      </c>
      <c r="F4" s="426">
        <f>'Public Education'!E11</f>
        <v>700</v>
      </c>
      <c r="I4" s="448" t="s">
        <v>583</v>
      </c>
      <c r="J4" s="449"/>
      <c r="K4" s="424">
        <f>ROUND((C4/5),3-(INT(LOG((C4/5))+1)))</f>
        <v>1880</v>
      </c>
      <c r="L4" s="424">
        <f aca="true" t="shared" si="0" ref="L4:N13">ROUND((D4/5),3-(INT(LOG((D4/5))+1)))</f>
        <v>14200</v>
      </c>
      <c r="M4" s="431">
        <f t="shared" si="0"/>
        <v>18.8</v>
      </c>
      <c r="N4" s="431">
        <f t="shared" si="0"/>
        <v>140</v>
      </c>
    </row>
    <row r="5" spans="1:14" ht="28.5" customHeight="1">
      <c r="A5" s="448" t="s">
        <v>584</v>
      </c>
      <c r="B5" s="449"/>
      <c r="C5" s="427">
        <f>'Public Participation'!B9</f>
        <v>9000</v>
      </c>
      <c r="D5" s="425">
        <f>'Public Participation'!C9</f>
        <v>17000</v>
      </c>
      <c r="E5" s="426">
        <f>'Public Participation'!D9</f>
        <v>80</v>
      </c>
      <c r="F5" s="426">
        <f>'Public Participation'!E9</f>
        <v>150</v>
      </c>
      <c r="I5" s="448" t="s">
        <v>584</v>
      </c>
      <c r="J5" s="449"/>
      <c r="K5" s="424">
        <f aca="true" t="shared" si="1" ref="K5:K13">ROUND((C5/5),3-(INT(LOG((C5/5))+1)))</f>
        <v>1800</v>
      </c>
      <c r="L5" s="424">
        <f t="shared" si="0"/>
        <v>3400</v>
      </c>
      <c r="M5" s="431">
        <f t="shared" si="0"/>
        <v>16</v>
      </c>
      <c r="N5" s="431">
        <f t="shared" si="0"/>
        <v>30</v>
      </c>
    </row>
    <row r="6" spans="1:14" ht="28.5" customHeight="1">
      <c r="A6" s="448" t="s">
        <v>284</v>
      </c>
      <c r="B6" s="449"/>
      <c r="C6" s="427">
        <f>'Good Housekeeping'!B16</f>
        <v>78600</v>
      </c>
      <c r="D6" s="425">
        <f>'Good Housekeeping'!C16</f>
        <v>153000</v>
      </c>
      <c r="E6" s="428">
        <f>'Good Housekeeping'!D16</f>
        <v>411</v>
      </c>
      <c r="F6" s="428">
        <f>'Good Housekeeping'!E16</f>
        <v>800</v>
      </c>
      <c r="I6" s="448" t="s">
        <v>284</v>
      </c>
      <c r="J6" s="449"/>
      <c r="K6" s="424">
        <f t="shared" si="1"/>
        <v>15700</v>
      </c>
      <c r="L6" s="424">
        <f t="shared" si="0"/>
        <v>30600</v>
      </c>
      <c r="M6" s="431">
        <f t="shared" si="0"/>
        <v>82.2</v>
      </c>
      <c r="N6" s="431">
        <f t="shared" si="0"/>
        <v>160</v>
      </c>
    </row>
    <row r="7" spans="1:14" ht="28.5" customHeight="1">
      <c r="A7" s="448" t="s">
        <v>585</v>
      </c>
      <c r="B7" s="449"/>
      <c r="C7" s="425">
        <f>NOI!B9</f>
        <v>5000</v>
      </c>
      <c r="D7" s="425">
        <f>NOI!C9</f>
        <v>11200</v>
      </c>
      <c r="E7" s="428">
        <f>NOI!D9</f>
        <v>50</v>
      </c>
      <c r="F7" s="428">
        <f>NOI!E9</f>
        <v>112</v>
      </c>
      <c r="I7" s="448" t="s">
        <v>585</v>
      </c>
      <c r="J7" s="449"/>
      <c r="K7" s="424">
        <f t="shared" si="1"/>
        <v>1000</v>
      </c>
      <c r="L7" s="424">
        <f t="shared" si="0"/>
        <v>2240</v>
      </c>
      <c r="M7" s="431">
        <f t="shared" si="0"/>
        <v>10</v>
      </c>
      <c r="N7" s="431">
        <f t="shared" si="0"/>
        <v>22.4</v>
      </c>
    </row>
    <row r="8" spans="1:14" ht="28.5" customHeight="1">
      <c r="A8" s="448" t="s">
        <v>586</v>
      </c>
      <c r="B8" s="449"/>
      <c r="C8" s="425">
        <f>SWMP!B10</f>
        <v>12800</v>
      </c>
      <c r="D8" s="425">
        <f>SWMP!C10</f>
        <v>20400</v>
      </c>
      <c r="E8" s="428">
        <f>SWMP!D10</f>
        <v>128</v>
      </c>
      <c r="F8" s="428">
        <f>SWMP!E10</f>
        <v>204</v>
      </c>
      <c r="I8" s="448" t="s">
        <v>586</v>
      </c>
      <c r="J8" s="449"/>
      <c r="K8" s="424">
        <f t="shared" si="1"/>
        <v>2560</v>
      </c>
      <c r="L8" s="424">
        <f t="shared" si="0"/>
        <v>4080</v>
      </c>
      <c r="M8" s="431">
        <f t="shared" si="0"/>
        <v>25.6</v>
      </c>
      <c r="N8" s="431">
        <f t="shared" si="0"/>
        <v>40.8</v>
      </c>
    </row>
    <row r="9" spans="1:14" ht="28.5" customHeight="1">
      <c r="A9" s="448" t="s">
        <v>274</v>
      </c>
      <c r="B9" s="449"/>
      <c r="C9" s="425">
        <f>IDDE!B22</f>
        <v>35500</v>
      </c>
      <c r="D9" s="425">
        <f>IDDE!C22</f>
        <v>81000</v>
      </c>
      <c r="E9" s="428">
        <f>IDDE!D22</f>
        <v>337</v>
      </c>
      <c r="F9" s="428">
        <f>IDDE!E22</f>
        <v>767</v>
      </c>
      <c r="I9" s="448" t="s">
        <v>274</v>
      </c>
      <c r="J9" s="449"/>
      <c r="K9" s="424">
        <f t="shared" si="1"/>
        <v>7100</v>
      </c>
      <c r="L9" s="424">
        <f t="shared" si="0"/>
        <v>16200</v>
      </c>
      <c r="M9" s="431">
        <f t="shared" si="0"/>
        <v>67.4</v>
      </c>
      <c r="N9" s="431">
        <f t="shared" si="0"/>
        <v>153</v>
      </c>
    </row>
    <row r="10" spans="1:14" ht="28.5" customHeight="1">
      <c r="A10" s="448" t="s">
        <v>278</v>
      </c>
      <c r="B10" s="449"/>
      <c r="C10" s="425">
        <f>'Construction Site Control'!B11</f>
        <v>4200</v>
      </c>
      <c r="D10" s="425">
        <f>'Construction Site Control'!C11</f>
        <v>21600</v>
      </c>
      <c r="E10" s="428">
        <f>'Construction Site Control'!D11</f>
        <v>32</v>
      </c>
      <c r="F10" s="428">
        <f>'Construction Site Control'!E11</f>
        <v>96</v>
      </c>
      <c r="I10" s="448" t="s">
        <v>278</v>
      </c>
      <c r="J10" s="449"/>
      <c r="K10" s="424">
        <f t="shared" si="1"/>
        <v>840</v>
      </c>
      <c r="L10" s="424">
        <f t="shared" si="0"/>
        <v>4320</v>
      </c>
      <c r="M10" s="431">
        <f t="shared" si="0"/>
        <v>6.4</v>
      </c>
      <c r="N10" s="431">
        <f t="shared" si="0"/>
        <v>19.2</v>
      </c>
    </row>
    <row r="11" spans="1:14" ht="28.5" customHeight="1">
      <c r="A11" s="448" t="s">
        <v>279</v>
      </c>
      <c r="B11" s="449"/>
      <c r="C11" s="425">
        <f>'Post Construction Site Control'!B10</f>
        <v>17200</v>
      </c>
      <c r="D11" s="425">
        <f>'Post Construction Site Control'!C10</f>
        <v>34400</v>
      </c>
      <c r="E11" s="428">
        <f>'Post Construction Site Control'!D10</f>
        <v>142</v>
      </c>
      <c r="F11" s="428">
        <f>'Post Construction Site Control'!E10</f>
        <v>284</v>
      </c>
      <c r="I11" s="448" t="s">
        <v>279</v>
      </c>
      <c r="J11" s="449"/>
      <c r="K11" s="424">
        <f t="shared" si="1"/>
        <v>3440</v>
      </c>
      <c r="L11" s="424">
        <f t="shared" si="0"/>
        <v>6880</v>
      </c>
      <c r="M11" s="431">
        <f t="shared" si="0"/>
        <v>28.4</v>
      </c>
      <c r="N11" s="431">
        <f t="shared" si="0"/>
        <v>56.8</v>
      </c>
    </row>
    <row r="12" spans="1:14" ht="28.5" customHeight="1">
      <c r="A12" s="448" t="s">
        <v>587</v>
      </c>
      <c r="B12" s="449"/>
      <c r="C12" s="425">
        <f>'Annual Report'!B9</f>
        <v>25300</v>
      </c>
      <c r="D12" s="425">
        <f>'Annual Report'!C9</f>
        <v>51600</v>
      </c>
      <c r="E12" s="428">
        <f>'Annual Report'!D9</f>
        <v>213</v>
      </c>
      <c r="F12" s="428">
        <f>'Annual Report'!E9</f>
        <v>436</v>
      </c>
      <c r="I12" s="448" t="s">
        <v>587</v>
      </c>
      <c r="J12" s="449"/>
      <c r="K12" s="424">
        <f t="shared" si="1"/>
        <v>5060</v>
      </c>
      <c r="L12" s="424">
        <f t="shared" si="0"/>
        <v>10300</v>
      </c>
      <c r="M12" s="431">
        <f t="shared" si="0"/>
        <v>42.6</v>
      </c>
      <c r="N12" s="431">
        <f t="shared" si="0"/>
        <v>87.2</v>
      </c>
    </row>
    <row r="13" spans="1:14" ht="28.5" customHeight="1">
      <c r="A13" s="457" t="s">
        <v>481</v>
      </c>
      <c r="B13" s="458"/>
      <c r="C13" s="429">
        <f>ROUND((SUM(C4:C12)),3-(INT(LOG((SUM(C4:C12)))+1)))</f>
        <v>197000</v>
      </c>
      <c r="D13" s="429">
        <f>ROUND((SUM(D4:D12)),3-(INT(LOG((SUM(D4:D12)))+1)))</f>
        <v>461000</v>
      </c>
      <c r="E13" s="430">
        <f>ROUND((SUM(E4:E12)),3-(INT(LOG((SUM(E4:E12)))+1)))</f>
        <v>1490</v>
      </c>
      <c r="F13" s="430">
        <f>ROUND((SUM(F4:F12)),3-(INT(LOG((SUM(F4:F12)))+1)))</f>
        <v>3550</v>
      </c>
      <c r="I13" s="457" t="s">
        <v>481</v>
      </c>
      <c r="J13" s="458"/>
      <c r="K13" s="446">
        <f t="shared" si="1"/>
        <v>39400</v>
      </c>
      <c r="L13" s="446">
        <f t="shared" si="0"/>
        <v>92200</v>
      </c>
      <c r="M13" s="447">
        <f t="shared" si="0"/>
        <v>298</v>
      </c>
      <c r="N13" s="447">
        <f t="shared" si="0"/>
        <v>710</v>
      </c>
    </row>
  </sheetData>
  <sheetProtection/>
  <mergeCells count="26">
    <mergeCell ref="I13:J13"/>
    <mergeCell ref="M2:N2"/>
    <mergeCell ref="I4:J4"/>
    <mergeCell ref="I5:J5"/>
    <mergeCell ref="I6:J6"/>
    <mergeCell ref="I7:J7"/>
    <mergeCell ref="I8:J8"/>
    <mergeCell ref="I2:J3"/>
    <mergeCell ref="K2:L2"/>
    <mergeCell ref="I9:J9"/>
    <mergeCell ref="I10:J10"/>
    <mergeCell ref="I11:J11"/>
    <mergeCell ref="I12:J12"/>
    <mergeCell ref="A6:B6"/>
    <mergeCell ref="A13:B13"/>
    <mergeCell ref="A7:B7"/>
    <mergeCell ref="A8:B8"/>
    <mergeCell ref="A9:B9"/>
    <mergeCell ref="A10:B10"/>
    <mergeCell ref="A11:B11"/>
    <mergeCell ref="A12:B12"/>
    <mergeCell ref="A2:B3"/>
    <mergeCell ref="C2:D2"/>
    <mergeCell ref="E2:F2"/>
    <mergeCell ref="A4:B4"/>
    <mergeCell ref="A5:B5"/>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AC88"/>
  <sheetViews>
    <sheetView zoomScale="85" zoomScaleNormal="85" workbookViewId="0" topLeftCell="A1">
      <selection activeCell="G28" sqref="G28"/>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7.140625" style="0" customWidth="1"/>
    <col min="6" max="6" width="107.28125" style="0" customWidth="1"/>
    <col min="7" max="7" width="15.7109375" style="0" customWidth="1"/>
    <col min="8" max="10" width="10.7109375" style="22" customWidth="1"/>
    <col min="11" max="11" width="10.7109375" style="23" customWidth="1"/>
    <col min="12" max="15" width="10.7109375" style="22" customWidth="1"/>
    <col min="16" max="17" width="10.7109375" style="25" customWidth="1"/>
    <col min="18" max="18" width="10.7109375" style="6" customWidth="1"/>
    <col min="19" max="19" width="10.7109375" style="25" customWidth="1"/>
    <col min="20" max="20" width="10.7109375" style="6" customWidth="1"/>
    <col min="21" max="21" width="57.421875" style="7" customWidth="1"/>
    <col min="22" max="22" width="36.8515625" style="0" customWidth="1"/>
  </cols>
  <sheetData>
    <row r="1" spans="1:29" s="26" customFormat="1" ht="30" customHeight="1">
      <c r="A1" s="483" t="s">
        <v>480</v>
      </c>
      <c r="B1" s="466"/>
      <c r="C1" s="467"/>
      <c r="D1" s="45"/>
      <c r="E1" s="45"/>
      <c r="H1" s="25"/>
      <c r="I1" s="45"/>
      <c r="J1" s="45"/>
      <c r="K1" s="25"/>
      <c r="L1" s="25"/>
      <c r="M1" s="45"/>
      <c r="N1" s="45"/>
      <c r="O1" s="45"/>
      <c r="P1" s="25"/>
      <c r="Q1" s="25"/>
      <c r="R1" s="45"/>
      <c r="S1" s="25"/>
      <c r="T1" s="45"/>
      <c r="U1" s="45"/>
      <c r="V1" s="62"/>
      <c r="W1" s="25"/>
      <c r="X1" s="25"/>
      <c r="Y1" s="25"/>
      <c r="Z1" s="25"/>
      <c r="AA1"/>
      <c r="AB1"/>
      <c r="AC1" s="64"/>
    </row>
    <row r="2" spans="1:29" s="26" customFormat="1" ht="30" customHeight="1">
      <c r="A2" s="486" t="s">
        <v>344</v>
      </c>
      <c r="B2" s="487"/>
      <c r="C2" s="313">
        <f>'MS4 Stats'!B10</f>
        <v>100</v>
      </c>
      <c r="D2" s="45"/>
      <c r="E2" s="45"/>
      <c r="H2" s="25"/>
      <c r="I2" s="45"/>
      <c r="J2" s="45"/>
      <c r="K2" s="25"/>
      <c r="L2" s="25"/>
      <c r="M2" s="45"/>
      <c r="N2" s="45"/>
      <c r="O2" s="45"/>
      <c r="P2" s="25"/>
      <c r="Q2" s="25"/>
      <c r="R2" s="45"/>
      <c r="S2" s="25"/>
      <c r="T2" s="45"/>
      <c r="U2" s="45"/>
      <c r="V2" s="62"/>
      <c r="W2" s="25"/>
      <c r="X2" s="25"/>
      <c r="Y2" s="25"/>
      <c r="Z2" s="25"/>
      <c r="AA2"/>
      <c r="AB2"/>
      <c r="AC2" s="64"/>
    </row>
    <row r="3" spans="1:29" s="26" customFormat="1" ht="45" customHeight="1">
      <c r="A3"/>
      <c r="B3"/>
      <c r="C3"/>
      <c r="D3" s="3"/>
      <c r="E3"/>
      <c r="H3" s="25"/>
      <c r="I3" s="45"/>
      <c r="J3" s="45"/>
      <c r="K3" s="25"/>
      <c r="L3" s="25"/>
      <c r="M3" s="45"/>
      <c r="N3" s="45"/>
      <c r="O3" s="45"/>
      <c r="P3" s="25"/>
      <c r="Q3" s="25"/>
      <c r="R3" s="45"/>
      <c r="S3" s="25"/>
      <c r="T3" s="45"/>
      <c r="U3" s="45"/>
      <c r="V3" s="62"/>
      <c r="W3" s="25"/>
      <c r="X3" s="25"/>
      <c r="Y3" s="25"/>
      <c r="Z3" s="25"/>
      <c r="AA3"/>
      <c r="AB3"/>
      <c r="AC3" s="64"/>
    </row>
    <row r="4" spans="1:29" s="26" customFormat="1" ht="30" customHeight="1">
      <c r="A4" s="379"/>
      <c r="B4" s="466" t="s">
        <v>482</v>
      </c>
      <c r="C4" s="466"/>
      <c r="D4" s="466" t="s">
        <v>256</v>
      </c>
      <c r="E4" s="467"/>
      <c r="H4" s="25"/>
      <c r="I4"/>
      <c r="J4"/>
      <c r="K4" s="25"/>
      <c r="L4" s="25"/>
      <c r="M4"/>
      <c r="N4"/>
      <c r="O4"/>
      <c r="P4" s="25"/>
      <c r="Q4" s="25"/>
      <c r="R4"/>
      <c r="S4" s="25"/>
      <c r="T4"/>
      <c r="U4"/>
      <c r="V4" s="62"/>
      <c r="W4" s="25"/>
      <c r="X4" s="25"/>
      <c r="Y4" s="25"/>
      <c r="Z4" s="25"/>
      <c r="AA4"/>
      <c r="AB4"/>
      <c r="AC4" s="64"/>
    </row>
    <row r="5" spans="1:29" s="26" customFormat="1" ht="30" customHeight="1">
      <c r="A5" s="382"/>
      <c r="B5" s="99" t="s">
        <v>301</v>
      </c>
      <c r="C5" s="99" t="s">
        <v>302</v>
      </c>
      <c r="D5" s="99" t="s">
        <v>301</v>
      </c>
      <c r="E5" s="100" t="s">
        <v>302</v>
      </c>
      <c r="H5" s="25"/>
      <c r="I5"/>
      <c r="J5"/>
      <c r="K5" s="25"/>
      <c r="L5" s="25"/>
      <c r="M5"/>
      <c r="N5"/>
      <c r="O5"/>
      <c r="P5" s="25"/>
      <c r="Q5" s="25"/>
      <c r="R5"/>
      <c r="S5" s="25"/>
      <c r="T5"/>
      <c r="U5"/>
      <c r="V5" s="62"/>
      <c r="W5" s="25"/>
      <c r="X5" s="25"/>
      <c r="Y5" s="25"/>
      <c r="Z5" s="25"/>
      <c r="AA5"/>
      <c r="AB5"/>
      <c r="AC5" s="64"/>
    </row>
    <row r="6" spans="1:29" s="26" customFormat="1" ht="30" customHeight="1">
      <c r="A6" s="314" t="s">
        <v>62</v>
      </c>
      <c r="B6" s="315">
        <f>ROUND((Q44/5),3-(INT(LOG((Q44/5))+1)))</f>
        <v>5060</v>
      </c>
      <c r="C6" s="315">
        <f>ROUND((R44/5),3-(INT(LOG((R44/5))+1)))</f>
        <v>10300</v>
      </c>
      <c r="D6" s="228">
        <f>ROUND((S44/5),3-(INT(LOG((S44/5))+1)))</f>
        <v>42.6</v>
      </c>
      <c r="E6" s="228">
        <f>ROUND((T44/5),3-(INT(LOG((T44/5))+1)))</f>
        <v>87.2</v>
      </c>
      <c r="H6" s="25"/>
      <c r="I6"/>
      <c r="J6"/>
      <c r="K6" s="25"/>
      <c r="L6" s="25"/>
      <c r="M6"/>
      <c r="N6"/>
      <c r="O6"/>
      <c r="P6" s="25"/>
      <c r="Q6" s="25"/>
      <c r="R6"/>
      <c r="S6" s="25"/>
      <c r="T6"/>
      <c r="U6"/>
      <c r="V6" s="62"/>
      <c r="W6" s="25"/>
      <c r="X6" s="25"/>
      <c r="Y6" s="25"/>
      <c r="Z6" s="25"/>
      <c r="AA6"/>
      <c r="AB6"/>
      <c r="AC6" s="64"/>
    </row>
    <row r="7" spans="1:29" s="26" customFormat="1" ht="30" customHeight="1">
      <c r="A7" s="318" t="s">
        <v>483</v>
      </c>
      <c r="B7" s="319">
        <v>0</v>
      </c>
      <c r="C7" s="319">
        <v>0</v>
      </c>
      <c r="D7" s="319">
        <v>0</v>
      </c>
      <c r="E7" s="319">
        <v>0</v>
      </c>
      <c r="H7" s="25"/>
      <c r="I7"/>
      <c r="J7"/>
      <c r="K7" s="25"/>
      <c r="L7" s="25"/>
      <c r="M7"/>
      <c r="N7"/>
      <c r="O7"/>
      <c r="P7" s="25"/>
      <c r="Q7" s="25"/>
      <c r="R7"/>
      <c r="S7" s="25"/>
      <c r="T7"/>
      <c r="U7"/>
      <c r="V7" s="62"/>
      <c r="W7" s="25"/>
      <c r="X7" s="25"/>
      <c r="Y7" s="25"/>
      <c r="Z7" s="25"/>
      <c r="AA7"/>
      <c r="AB7"/>
      <c r="AC7" s="64"/>
    </row>
    <row r="8" spans="1:29" s="26" customFormat="1" ht="30" customHeight="1">
      <c r="A8" s="90" t="s">
        <v>61</v>
      </c>
      <c r="B8" s="91">
        <v>0</v>
      </c>
      <c r="C8" s="91">
        <v>0</v>
      </c>
      <c r="D8" s="92">
        <v>0</v>
      </c>
      <c r="E8" s="93">
        <v>0</v>
      </c>
      <c r="H8" s="25"/>
      <c r="I8"/>
      <c r="J8"/>
      <c r="K8" s="25"/>
      <c r="L8" s="25"/>
      <c r="M8"/>
      <c r="N8"/>
      <c r="O8"/>
      <c r="P8" s="25"/>
      <c r="Q8" s="25"/>
      <c r="R8"/>
      <c r="S8" s="25"/>
      <c r="T8"/>
      <c r="U8"/>
      <c r="V8" s="62"/>
      <c r="W8" s="25"/>
      <c r="X8" s="25"/>
      <c r="Y8" s="25"/>
      <c r="Z8" s="25"/>
      <c r="AA8"/>
      <c r="AB8"/>
      <c r="AC8" s="64"/>
    </row>
    <row r="9" spans="1:29" s="26" customFormat="1" ht="30" customHeight="1">
      <c r="A9" s="320" t="s">
        <v>481</v>
      </c>
      <c r="B9" s="321">
        <f>Q44</f>
        <v>25300</v>
      </c>
      <c r="C9" s="321">
        <f>R44</f>
        <v>51600</v>
      </c>
      <c r="D9" s="322">
        <f>S44</f>
        <v>213</v>
      </c>
      <c r="E9" s="323">
        <f>T44</f>
        <v>436</v>
      </c>
      <c r="F9" s="22"/>
      <c r="H9" s="25"/>
      <c r="I9"/>
      <c r="J9"/>
      <c r="K9" s="25"/>
      <c r="L9" s="25"/>
      <c r="M9"/>
      <c r="N9"/>
      <c r="O9"/>
      <c r="P9" s="25"/>
      <c r="Q9" s="25"/>
      <c r="R9"/>
      <c r="S9" s="25"/>
      <c r="T9"/>
      <c r="U9"/>
      <c r="V9" s="62"/>
      <c r="W9" s="25"/>
      <c r="X9" s="25"/>
      <c r="Y9" s="25"/>
      <c r="Z9" s="25"/>
      <c r="AA9"/>
      <c r="AB9"/>
      <c r="AC9" s="64"/>
    </row>
    <row r="10" spans="1:29" s="26" customFormat="1" ht="30" customHeight="1">
      <c r="A10" s="1"/>
      <c r="B10"/>
      <c r="C10" s="1"/>
      <c r="D10"/>
      <c r="E10"/>
      <c r="F10" s="22"/>
      <c r="H10" s="25"/>
      <c r="I10"/>
      <c r="J10"/>
      <c r="K10" s="25"/>
      <c r="L10" s="25"/>
      <c r="M10"/>
      <c r="N10"/>
      <c r="O10"/>
      <c r="P10" s="25"/>
      <c r="Q10" s="25"/>
      <c r="R10"/>
      <c r="S10" s="25"/>
      <c r="T10"/>
      <c r="U10"/>
      <c r="V10" s="62"/>
      <c r="W10" s="25"/>
      <c r="X10" s="25"/>
      <c r="Y10" s="25"/>
      <c r="Z10" s="25"/>
      <c r="AA10"/>
      <c r="AB10"/>
      <c r="AC10" s="64"/>
    </row>
    <row r="11" ht="13.5">
      <c r="G11" s="41"/>
    </row>
    <row r="12" ht="13.5">
      <c r="G12" s="41"/>
    </row>
    <row r="13" spans="1:22" ht="34.5" customHeight="1">
      <c r="A13" s="558" t="s">
        <v>0</v>
      </c>
      <c r="B13" s="690" t="s">
        <v>28</v>
      </c>
      <c r="C13" s="599" t="s">
        <v>31</v>
      </c>
      <c r="D13" s="599" t="s">
        <v>109</v>
      </c>
      <c r="E13" s="600" t="s">
        <v>504</v>
      </c>
      <c r="F13" s="601"/>
      <c r="G13" s="597" t="s">
        <v>1</v>
      </c>
      <c r="H13" s="581" t="s">
        <v>497</v>
      </c>
      <c r="I13" s="581"/>
      <c r="J13" s="581"/>
      <c r="K13" s="581"/>
      <c r="L13" s="591" t="s">
        <v>498</v>
      </c>
      <c r="M13" s="592"/>
      <c r="N13" s="592"/>
      <c r="O13" s="592"/>
      <c r="P13" s="688" t="s">
        <v>261</v>
      </c>
      <c r="Q13" s="591" t="s">
        <v>505</v>
      </c>
      <c r="R13" s="592"/>
      <c r="S13" s="592"/>
      <c r="T13" s="593"/>
      <c r="U13" s="692" t="s">
        <v>57</v>
      </c>
      <c r="V13" s="692" t="s">
        <v>258</v>
      </c>
    </row>
    <row r="14" spans="1:22" ht="72" customHeight="1">
      <c r="A14" s="558"/>
      <c r="B14" s="690"/>
      <c r="C14" s="520"/>
      <c r="D14" s="520"/>
      <c r="E14" s="602"/>
      <c r="F14" s="603"/>
      <c r="G14" s="523"/>
      <c r="H14" s="581" t="s">
        <v>256</v>
      </c>
      <c r="I14" s="581"/>
      <c r="J14" s="528" t="s">
        <v>506</v>
      </c>
      <c r="K14" s="528"/>
      <c r="L14" s="580" t="s">
        <v>319</v>
      </c>
      <c r="M14" s="580"/>
      <c r="N14" s="580" t="s">
        <v>453</v>
      </c>
      <c r="O14" s="580"/>
      <c r="P14" s="667"/>
      <c r="Q14" s="684" t="s">
        <v>325</v>
      </c>
      <c r="R14" s="685"/>
      <c r="S14" s="686" t="s">
        <v>475</v>
      </c>
      <c r="T14" s="687"/>
      <c r="U14" s="693"/>
      <c r="V14" s="693"/>
    </row>
    <row r="15" spans="1:22" ht="22.5" customHeight="1">
      <c r="A15" s="689"/>
      <c r="B15" s="691"/>
      <c r="C15" s="521"/>
      <c r="D15" s="521"/>
      <c r="E15" s="604"/>
      <c r="F15" s="605"/>
      <c r="G15" s="524"/>
      <c r="H15" s="386" t="s">
        <v>352</v>
      </c>
      <c r="I15" s="386" t="s">
        <v>302</v>
      </c>
      <c r="J15" s="386" t="s">
        <v>301</v>
      </c>
      <c r="K15" s="380" t="s">
        <v>302</v>
      </c>
      <c r="L15" s="385" t="s">
        <v>301</v>
      </c>
      <c r="M15" s="385" t="s">
        <v>302</v>
      </c>
      <c r="N15" s="385" t="s">
        <v>301</v>
      </c>
      <c r="O15" s="385" t="s">
        <v>302</v>
      </c>
      <c r="P15" s="668"/>
      <c r="Q15" s="381" t="s">
        <v>301</v>
      </c>
      <c r="R15" s="380" t="s">
        <v>302</v>
      </c>
      <c r="S15" s="381" t="s">
        <v>301</v>
      </c>
      <c r="T15" s="380" t="s">
        <v>302</v>
      </c>
      <c r="U15" s="694"/>
      <c r="V15" s="694"/>
    </row>
    <row r="16" spans="1:21" ht="27.75">
      <c r="A16" s="344">
        <v>4</v>
      </c>
      <c r="B16" s="344"/>
      <c r="C16" s="344"/>
      <c r="D16" s="344"/>
      <c r="E16" s="415" t="s">
        <v>220</v>
      </c>
      <c r="F16" s="415"/>
      <c r="G16" s="338">
        <v>4.4</v>
      </c>
      <c r="H16" s="345"/>
      <c r="I16" s="345"/>
      <c r="J16" s="345"/>
      <c r="K16" s="345"/>
      <c r="L16" s="345"/>
      <c r="M16" s="345"/>
      <c r="N16" s="345"/>
      <c r="O16" s="345"/>
      <c r="P16" s="345"/>
      <c r="Q16" s="345"/>
      <c r="R16" s="345"/>
      <c r="S16" s="345"/>
      <c r="T16" s="345"/>
      <c r="U16" s="346" t="s">
        <v>221</v>
      </c>
    </row>
    <row r="17" spans="1:22" ht="36" customHeight="1">
      <c r="A17" s="347">
        <v>4.1</v>
      </c>
      <c r="B17" s="347"/>
      <c r="C17" s="391"/>
      <c r="D17" s="376" t="s">
        <v>218</v>
      </c>
      <c r="E17" s="697" t="s">
        <v>222</v>
      </c>
      <c r="F17" s="697"/>
      <c r="G17" s="391">
        <v>4.4</v>
      </c>
      <c r="H17" s="332"/>
      <c r="I17" s="332"/>
      <c r="J17" s="332"/>
      <c r="K17" s="391"/>
      <c r="L17" s="391"/>
      <c r="M17" s="391"/>
      <c r="N17" s="391"/>
      <c r="O17" s="391"/>
      <c r="P17" s="391">
        <v>5</v>
      </c>
      <c r="Q17" s="388">
        <f>H17*$C$2+J17+((L17*$C$2+N17)*$P17)</f>
        <v>0</v>
      </c>
      <c r="R17" s="388">
        <f>I17*$C$2+K17+((M17*$C$2+O17)*$P17)</f>
        <v>0</v>
      </c>
      <c r="S17" s="389">
        <f>H17+(L17*P17)</f>
        <v>0</v>
      </c>
      <c r="T17" s="389">
        <f>I17+(M17*P17)</f>
        <v>0</v>
      </c>
      <c r="U17" s="398"/>
      <c r="V17" s="58" t="s">
        <v>472</v>
      </c>
    </row>
    <row r="18" spans="1:22" ht="36" customHeight="1">
      <c r="A18" s="347"/>
      <c r="B18" s="347"/>
      <c r="C18" s="391"/>
      <c r="D18" s="348"/>
      <c r="E18" s="662" t="s">
        <v>454</v>
      </c>
      <c r="F18" s="664"/>
      <c r="G18" s="391">
        <v>4.4</v>
      </c>
      <c r="H18" s="332"/>
      <c r="I18" s="332"/>
      <c r="J18" s="332"/>
      <c r="K18" s="391"/>
      <c r="L18" s="416">
        <v>4</v>
      </c>
      <c r="M18" s="416">
        <v>8</v>
      </c>
      <c r="N18" s="391"/>
      <c r="O18" s="391"/>
      <c r="P18" s="391">
        <v>5</v>
      </c>
      <c r="Q18" s="388">
        <f>H18*$C$2+J18+((L18*$C$2+N18)*$P18)</f>
        <v>2000</v>
      </c>
      <c r="R18" s="388">
        <f>I18*$C$2+K18+((M18*$C$2+O18)*$P18)</f>
        <v>4000</v>
      </c>
      <c r="S18" s="389">
        <f>H18+(L18*P18)</f>
        <v>20</v>
      </c>
      <c r="T18" s="389">
        <f>I18+(M18*P18)</f>
        <v>40</v>
      </c>
      <c r="U18" s="398" t="s">
        <v>455</v>
      </c>
      <c r="V18" s="58" t="s">
        <v>472</v>
      </c>
    </row>
    <row r="19" spans="1:22" ht="36" customHeight="1">
      <c r="A19" s="349"/>
      <c r="B19" s="350"/>
      <c r="C19" s="351"/>
      <c r="D19" s="351"/>
      <c r="E19" s="698" t="s">
        <v>272</v>
      </c>
      <c r="F19" s="698"/>
      <c r="G19" s="351"/>
      <c r="H19" s="351"/>
      <c r="I19" s="351"/>
      <c r="J19" s="351"/>
      <c r="K19" s="351"/>
      <c r="L19" s="351"/>
      <c r="M19" s="351"/>
      <c r="N19" s="351"/>
      <c r="O19" s="351"/>
      <c r="P19" s="351">
        <v>5</v>
      </c>
      <c r="Q19" s="351"/>
      <c r="R19" s="351"/>
      <c r="S19" s="352"/>
      <c r="T19" s="352"/>
      <c r="U19" s="351"/>
      <c r="V19" s="58" t="s">
        <v>472</v>
      </c>
    </row>
    <row r="20" spans="1:22" ht="40.5" customHeight="1">
      <c r="A20" s="353"/>
      <c r="B20" s="354"/>
      <c r="C20" s="391" t="s">
        <v>287</v>
      </c>
      <c r="D20" s="391"/>
      <c r="E20" s="391"/>
      <c r="F20" s="376" t="s">
        <v>185</v>
      </c>
      <c r="G20" s="355"/>
      <c r="H20" s="391"/>
      <c r="I20" s="391"/>
      <c r="J20" s="391"/>
      <c r="K20" s="391"/>
      <c r="L20" s="391">
        <v>24</v>
      </c>
      <c r="M20" s="391">
        <v>30</v>
      </c>
      <c r="N20" s="391"/>
      <c r="O20" s="391"/>
      <c r="P20" s="391">
        <v>5</v>
      </c>
      <c r="Q20" s="388">
        <f>H20*$C$2+J20+((L20*$C$2+N20)*$P20)</f>
        <v>12000</v>
      </c>
      <c r="R20" s="388">
        <f>I20*$C$2+K20+((M20*$C$2+O20)*$P20)</f>
        <v>15000</v>
      </c>
      <c r="S20" s="389">
        <f>H20+(L20*P20)</f>
        <v>120</v>
      </c>
      <c r="T20" s="389">
        <f>I20+(M20*P20)</f>
        <v>150</v>
      </c>
      <c r="U20" s="360" t="s">
        <v>579</v>
      </c>
      <c r="V20" s="58" t="s">
        <v>472</v>
      </c>
    </row>
    <row r="21" spans="1:22" ht="36" customHeight="1">
      <c r="A21" s="353"/>
      <c r="B21" s="354"/>
      <c r="C21" s="391" t="s">
        <v>287</v>
      </c>
      <c r="D21" s="391"/>
      <c r="E21" s="391"/>
      <c r="F21" s="377" t="s">
        <v>273</v>
      </c>
      <c r="G21" s="391"/>
      <c r="H21" s="391"/>
      <c r="I21" s="391"/>
      <c r="J21" s="391"/>
      <c r="K21" s="391"/>
      <c r="L21" s="391">
        <v>1</v>
      </c>
      <c r="M21" s="391">
        <v>2</v>
      </c>
      <c r="N21" s="391"/>
      <c r="O21" s="391"/>
      <c r="P21" s="391">
        <v>5</v>
      </c>
      <c r="Q21" s="388">
        <f>H21*$C$2+J21+((L21*$C$2+N21)*$P21)</f>
        <v>500</v>
      </c>
      <c r="R21" s="388">
        <f>I21*$C$2+K21+((M21*$C$2+O21)*$P21)</f>
        <v>1000</v>
      </c>
      <c r="S21" s="389">
        <f>H21+(L21*P21)</f>
        <v>5</v>
      </c>
      <c r="T21" s="389">
        <f>I21+(M21*P21)</f>
        <v>10</v>
      </c>
      <c r="U21" s="398"/>
      <c r="V21" s="58" t="s">
        <v>472</v>
      </c>
    </row>
    <row r="22" spans="1:21" ht="36" customHeight="1">
      <c r="A22" s="349"/>
      <c r="B22" s="350"/>
      <c r="C22" s="351"/>
      <c r="D22" s="351"/>
      <c r="E22" s="695" t="s">
        <v>274</v>
      </c>
      <c r="F22" s="696"/>
      <c r="G22" s="351"/>
      <c r="H22" s="351"/>
      <c r="I22" s="351"/>
      <c r="J22" s="351"/>
      <c r="K22" s="351"/>
      <c r="L22" s="351"/>
      <c r="M22" s="351"/>
      <c r="N22" s="351"/>
      <c r="O22" s="351"/>
      <c r="P22" s="351"/>
      <c r="Q22" s="351"/>
      <c r="R22" s="351"/>
      <c r="S22" s="352"/>
      <c r="T22" s="352"/>
      <c r="U22" s="351"/>
    </row>
    <row r="23" spans="1:22" s="7" customFormat="1" ht="36" customHeight="1">
      <c r="A23" s="356"/>
      <c r="B23" s="357"/>
      <c r="C23" s="397" t="s">
        <v>287</v>
      </c>
      <c r="D23" s="397"/>
      <c r="E23" s="348">
        <v>1.2000000000000002</v>
      </c>
      <c r="F23" s="400" t="s">
        <v>275</v>
      </c>
      <c r="G23" s="391"/>
      <c r="H23" s="358"/>
      <c r="I23" s="358"/>
      <c r="J23" s="359">
        <v>0</v>
      </c>
      <c r="K23" s="359">
        <v>0</v>
      </c>
      <c r="L23" s="358">
        <v>0</v>
      </c>
      <c r="M23" s="358">
        <v>4</v>
      </c>
      <c r="N23" s="358"/>
      <c r="O23" s="358"/>
      <c r="P23" s="358">
        <v>5</v>
      </c>
      <c r="Q23" s="388">
        <f>H23*$C$2+J23+((L23*$C$2+N23)*$P23)</f>
        <v>0</v>
      </c>
      <c r="R23" s="388">
        <f aca="true" t="shared" si="0" ref="R23:R31">I23*$C$2+K23+((M23*$C$2+O23)*$P23)</f>
        <v>2000</v>
      </c>
      <c r="S23" s="389">
        <f>H23+(L23*P23)</f>
        <v>0</v>
      </c>
      <c r="T23" s="389">
        <f>I23+(M23*P23)</f>
        <v>20</v>
      </c>
      <c r="U23" s="360" t="s">
        <v>315</v>
      </c>
      <c r="V23" s="58" t="s">
        <v>472</v>
      </c>
    </row>
    <row r="24" spans="1:22" s="7" customFormat="1" ht="36" customHeight="1">
      <c r="A24" s="356"/>
      <c r="B24" s="357"/>
      <c r="C24" s="397" t="s">
        <v>287</v>
      </c>
      <c r="D24" s="397"/>
      <c r="E24" s="348">
        <v>2.2</v>
      </c>
      <c r="F24" s="400" t="s">
        <v>276</v>
      </c>
      <c r="G24" s="391"/>
      <c r="H24" s="358"/>
      <c r="I24" s="358"/>
      <c r="J24" s="359">
        <v>0</v>
      </c>
      <c r="K24" s="359">
        <v>0</v>
      </c>
      <c r="L24" s="358">
        <v>0</v>
      </c>
      <c r="M24" s="358">
        <v>4</v>
      </c>
      <c r="N24" s="358"/>
      <c r="O24" s="358"/>
      <c r="P24" s="358">
        <v>5</v>
      </c>
      <c r="Q24" s="388">
        <f aca="true" t="shared" si="1" ref="Q24:R38">H24*$C$2+J24+((L24*$C$2+N24)*$P24)</f>
        <v>0</v>
      </c>
      <c r="R24" s="388">
        <f t="shared" si="0"/>
        <v>2000</v>
      </c>
      <c r="S24" s="389">
        <f aca="true" t="shared" si="2" ref="S24:S31">H24+(L24*P24)</f>
        <v>0</v>
      </c>
      <c r="T24" s="389">
        <f aca="true" t="shared" si="3" ref="T24:T31">I24+(M24*P24)</f>
        <v>20</v>
      </c>
      <c r="U24" s="360" t="s">
        <v>316</v>
      </c>
      <c r="V24" s="58" t="s">
        <v>472</v>
      </c>
    </row>
    <row r="25" spans="1:22" s="7" customFormat="1" ht="36" customHeight="1">
      <c r="A25" s="356"/>
      <c r="B25" s="357"/>
      <c r="C25" s="397" t="s">
        <v>76</v>
      </c>
      <c r="D25" s="397"/>
      <c r="E25" s="348">
        <v>3.6000000000000005</v>
      </c>
      <c r="F25" s="400" t="s">
        <v>277</v>
      </c>
      <c r="G25" s="391"/>
      <c r="H25" s="358"/>
      <c r="I25" s="358"/>
      <c r="J25" s="359">
        <v>0</v>
      </c>
      <c r="K25" s="359">
        <v>0</v>
      </c>
      <c r="L25" s="358">
        <v>1</v>
      </c>
      <c r="M25" s="358">
        <v>2</v>
      </c>
      <c r="N25" s="358"/>
      <c r="O25" s="358"/>
      <c r="P25" s="358">
        <v>5</v>
      </c>
      <c r="Q25" s="388">
        <f t="shared" si="1"/>
        <v>500</v>
      </c>
      <c r="R25" s="388">
        <f t="shared" si="0"/>
        <v>1000</v>
      </c>
      <c r="S25" s="389">
        <f t="shared" si="2"/>
        <v>5</v>
      </c>
      <c r="T25" s="389">
        <f t="shared" si="3"/>
        <v>10</v>
      </c>
      <c r="U25" s="397" t="s">
        <v>314</v>
      </c>
      <c r="V25" s="58" t="s">
        <v>472</v>
      </c>
    </row>
    <row r="26" spans="1:22" ht="36" customHeight="1">
      <c r="A26" s="361"/>
      <c r="B26" s="354"/>
      <c r="C26" s="391" t="s">
        <v>287</v>
      </c>
      <c r="D26" s="391"/>
      <c r="E26" s="362" t="s">
        <v>122</v>
      </c>
      <c r="F26" s="400" t="s">
        <v>207</v>
      </c>
      <c r="G26" s="391"/>
      <c r="H26" s="358"/>
      <c r="I26" s="358"/>
      <c r="J26" s="359">
        <v>0</v>
      </c>
      <c r="K26" s="359">
        <v>0</v>
      </c>
      <c r="L26" s="358">
        <v>1</v>
      </c>
      <c r="M26" s="358">
        <v>2</v>
      </c>
      <c r="N26" s="358"/>
      <c r="O26" s="358"/>
      <c r="P26" s="358">
        <v>5</v>
      </c>
      <c r="Q26" s="388">
        <f t="shared" si="1"/>
        <v>500</v>
      </c>
      <c r="R26" s="388">
        <f t="shared" si="0"/>
        <v>1000</v>
      </c>
      <c r="S26" s="389">
        <f t="shared" si="2"/>
        <v>5</v>
      </c>
      <c r="T26" s="389">
        <f t="shared" si="3"/>
        <v>10</v>
      </c>
      <c r="U26" s="360" t="s">
        <v>456</v>
      </c>
      <c r="V26" s="58" t="s">
        <v>472</v>
      </c>
    </row>
    <row r="27" spans="1:22" ht="36" customHeight="1">
      <c r="A27" s="347"/>
      <c r="B27" s="347"/>
      <c r="C27" s="391"/>
      <c r="D27" s="348"/>
      <c r="E27" s="348"/>
      <c r="F27" s="400" t="s">
        <v>219</v>
      </c>
      <c r="G27" s="391"/>
      <c r="H27" s="332"/>
      <c r="I27" s="391"/>
      <c r="J27" s="391"/>
      <c r="K27" s="391"/>
      <c r="L27" s="363">
        <v>0</v>
      </c>
      <c r="M27" s="364">
        <v>8</v>
      </c>
      <c r="N27" s="391"/>
      <c r="O27" s="391"/>
      <c r="P27" s="363">
        <v>5</v>
      </c>
      <c r="Q27" s="388">
        <f t="shared" si="1"/>
        <v>0</v>
      </c>
      <c r="R27" s="388">
        <f t="shared" si="0"/>
        <v>4000</v>
      </c>
      <c r="S27" s="389">
        <f t="shared" si="2"/>
        <v>0</v>
      </c>
      <c r="T27" s="389">
        <f t="shared" si="3"/>
        <v>40</v>
      </c>
      <c r="U27" s="397" t="s">
        <v>570</v>
      </c>
      <c r="V27" s="58" t="s">
        <v>472</v>
      </c>
    </row>
    <row r="28" spans="1:22" ht="36" customHeight="1">
      <c r="A28" s="353"/>
      <c r="B28" s="354"/>
      <c r="C28" s="391" t="s">
        <v>287</v>
      </c>
      <c r="D28" s="391"/>
      <c r="E28" s="391" t="s">
        <v>130</v>
      </c>
      <c r="F28" s="393" t="s">
        <v>94</v>
      </c>
      <c r="G28" s="391"/>
      <c r="H28" s="389"/>
      <c r="I28" s="389"/>
      <c r="J28" s="359">
        <v>0</v>
      </c>
      <c r="K28" s="359">
        <v>0</v>
      </c>
      <c r="L28" s="389">
        <v>1</v>
      </c>
      <c r="M28" s="389">
        <v>2</v>
      </c>
      <c r="N28" s="358"/>
      <c r="O28" s="358"/>
      <c r="P28" s="358">
        <v>5</v>
      </c>
      <c r="Q28" s="388">
        <f t="shared" si="1"/>
        <v>500</v>
      </c>
      <c r="R28" s="388">
        <f t="shared" si="0"/>
        <v>1000</v>
      </c>
      <c r="S28" s="389">
        <f t="shared" si="2"/>
        <v>5</v>
      </c>
      <c r="T28" s="389">
        <f t="shared" si="3"/>
        <v>10</v>
      </c>
      <c r="U28" s="360" t="s">
        <v>457</v>
      </c>
      <c r="V28" s="58" t="s">
        <v>472</v>
      </c>
    </row>
    <row r="29" spans="1:22" ht="36" customHeight="1">
      <c r="A29" s="353"/>
      <c r="B29" s="354"/>
      <c r="C29" s="391" t="s">
        <v>287</v>
      </c>
      <c r="D29" s="391"/>
      <c r="E29" s="391" t="s">
        <v>134</v>
      </c>
      <c r="F29" s="393" t="s">
        <v>108</v>
      </c>
      <c r="G29" s="391"/>
      <c r="H29" s="358"/>
      <c r="I29" s="358"/>
      <c r="J29" s="359">
        <v>0</v>
      </c>
      <c r="K29" s="359">
        <v>0</v>
      </c>
      <c r="L29" s="358">
        <v>2</v>
      </c>
      <c r="M29" s="358">
        <v>4</v>
      </c>
      <c r="N29" s="358"/>
      <c r="O29" s="358"/>
      <c r="P29" s="358">
        <v>5</v>
      </c>
      <c r="Q29" s="388">
        <f t="shared" si="1"/>
        <v>1000</v>
      </c>
      <c r="R29" s="388">
        <f t="shared" si="0"/>
        <v>2000</v>
      </c>
      <c r="S29" s="389">
        <f t="shared" si="2"/>
        <v>10</v>
      </c>
      <c r="T29" s="389">
        <f t="shared" si="3"/>
        <v>20</v>
      </c>
      <c r="U29" s="360" t="s">
        <v>571</v>
      </c>
      <c r="V29" s="58" t="s">
        <v>472</v>
      </c>
    </row>
    <row r="30" spans="1:22" ht="36" customHeight="1">
      <c r="A30" s="353"/>
      <c r="B30" s="354"/>
      <c r="C30" s="391" t="s">
        <v>287</v>
      </c>
      <c r="D30" s="391"/>
      <c r="E30" s="391" t="s">
        <v>139</v>
      </c>
      <c r="F30" s="376" t="s">
        <v>107</v>
      </c>
      <c r="G30" s="391"/>
      <c r="H30" s="358"/>
      <c r="I30" s="358"/>
      <c r="J30" s="359">
        <v>0</v>
      </c>
      <c r="K30" s="359">
        <v>0</v>
      </c>
      <c r="L30" s="358">
        <v>0</v>
      </c>
      <c r="M30" s="358">
        <v>4</v>
      </c>
      <c r="N30" s="358"/>
      <c r="O30" s="358"/>
      <c r="P30" s="358">
        <v>5</v>
      </c>
      <c r="Q30" s="388">
        <f t="shared" si="1"/>
        <v>0</v>
      </c>
      <c r="R30" s="388">
        <f t="shared" si="0"/>
        <v>2000</v>
      </c>
      <c r="S30" s="389">
        <f t="shared" si="2"/>
        <v>0</v>
      </c>
      <c r="T30" s="389">
        <f t="shared" si="3"/>
        <v>20</v>
      </c>
      <c r="U30" s="360" t="s">
        <v>458</v>
      </c>
      <c r="V30" s="58" t="s">
        <v>472</v>
      </c>
    </row>
    <row r="31" spans="1:22" ht="36" customHeight="1">
      <c r="A31" s="353"/>
      <c r="B31" s="354"/>
      <c r="C31" s="391" t="s">
        <v>287</v>
      </c>
      <c r="D31" s="391"/>
      <c r="E31" s="391" t="s">
        <v>142</v>
      </c>
      <c r="F31" s="393" t="s">
        <v>117</v>
      </c>
      <c r="G31" s="391"/>
      <c r="H31" s="389"/>
      <c r="I31" s="389"/>
      <c r="J31" s="359">
        <v>0</v>
      </c>
      <c r="K31" s="359">
        <v>0</v>
      </c>
      <c r="L31" s="389">
        <v>1</v>
      </c>
      <c r="M31" s="389">
        <v>2</v>
      </c>
      <c r="N31" s="358"/>
      <c r="O31" s="358"/>
      <c r="P31" s="358">
        <v>5</v>
      </c>
      <c r="Q31" s="388">
        <f t="shared" si="1"/>
        <v>500</v>
      </c>
      <c r="R31" s="388">
        <f t="shared" si="0"/>
        <v>1000</v>
      </c>
      <c r="S31" s="389">
        <f t="shared" si="2"/>
        <v>5</v>
      </c>
      <c r="T31" s="389">
        <f t="shared" si="3"/>
        <v>10</v>
      </c>
      <c r="U31" s="397" t="s">
        <v>459</v>
      </c>
      <c r="V31" s="58" t="s">
        <v>472</v>
      </c>
    </row>
    <row r="32" spans="1:21" ht="36" customHeight="1">
      <c r="A32" s="349"/>
      <c r="B32" s="350"/>
      <c r="C32" s="351"/>
      <c r="D32" s="351"/>
      <c r="E32" s="695" t="s">
        <v>278</v>
      </c>
      <c r="F32" s="696"/>
      <c r="G32" s="351"/>
      <c r="H32" s="352"/>
      <c r="I32" s="352"/>
      <c r="J32" s="352"/>
      <c r="K32" s="365"/>
      <c r="L32" s="352"/>
      <c r="M32" s="352"/>
      <c r="N32" s="352"/>
      <c r="O32" s="352"/>
      <c r="P32" s="366"/>
      <c r="Q32" s="366"/>
      <c r="R32" s="365"/>
      <c r="S32" s="352"/>
      <c r="T32" s="352"/>
      <c r="U32" s="401"/>
    </row>
    <row r="33" spans="1:22" ht="36" customHeight="1">
      <c r="A33" s="353"/>
      <c r="B33" s="354"/>
      <c r="C33" s="391" t="s">
        <v>287</v>
      </c>
      <c r="D33" s="391"/>
      <c r="E33" s="391">
        <v>1.5</v>
      </c>
      <c r="F33" s="377" t="s">
        <v>158</v>
      </c>
      <c r="G33" s="391"/>
      <c r="H33" s="389"/>
      <c r="I33" s="389"/>
      <c r="J33" s="359">
        <v>0</v>
      </c>
      <c r="K33" s="359">
        <v>0</v>
      </c>
      <c r="L33" s="389">
        <v>1</v>
      </c>
      <c r="M33" s="389">
        <v>2</v>
      </c>
      <c r="N33" s="389"/>
      <c r="O33" s="389"/>
      <c r="P33" s="389">
        <v>5</v>
      </c>
      <c r="Q33" s="388">
        <f t="shared" si="1"/>
        <v>500</v>
      </c>
      <c r="R33" s="388">
        <f t="shared" si="1"/>
        <v>1000</v>
      </c>
      <c r="S33" s="389">
        <f>H33+(L33*P33)</f>
        <v>5</v>
      </c>
      <c r="T33" s="389">
        <f>I33+(M33*P33)</f>
        <v>10</v>
      </c>
      <c r="U33" s="360" t="s">
        <v>572</v>
      </c>
      <c r="V33" s="58" t="s">
        <v>472</v>
      </c>
    </row>
    <row r="34" spans="1:21" ht="36" customHeight="1">
      <c r="A34" s="349"/>
      <c r="B34" s="350"/>
      <c r="C34" s="351"/>
      <c r="D34" s="351"/>
      <c r="E34" s="695" t="s">
        <v>279</v>
      </c>
      <c r="F34" s="696"/>
      <c r="G34" s="351"/>
      <c r="H34" s="352"/>
      <c r="I34" s="352"/>
      <c r="J34" s="352"/>
      <c r="K34" s="365"/>
      <c r="L34" s="352"/>
      <c r="M34" s="352"/>
      <c r="N34" s="352"/>
      <c r="O34" s="352"/>
      <c r="P34" s="352"/>
      <c r="Q34" s="352"/>
      <c r="R34" s="365"/>
      <c r="S34" s="352"/>
      <c r="T34" s="352"/>
      <c r="U34" s="401"/>
    </row>
    <row r="35" spans="1:22" ht="36" customHeight="1">
      <c r="A35" s="353"/>
      <c r="B35" s="354"/>
      <c r="C35" s="391" t="s">
        <v>287</v>
      </c>
      <c r="D35" s="391"/>
      <c r="E35" s="332">
        <v>1.3</v>
      </c>
      <c r="F35" s="393" t="s">
        <v>280</v>
      </c>
      <c r="G35" s="391"/>
      <c r="H35" s="389"/>
      <c r="I35" s="389"/>
      <c r="J35" s="359">
        <v>0</v>
      </c>
      <c r="K35" s="359">
        <v>0</v>
      </c>
      <c r="L35" s="389">
        <v>1</v>
      </c>
      <c r="M35" s="389">
        <v>2</v>
      </c>
      <c r="N35" s="389"/>
      <c r="O35" s="389"/>
      <c r="P35" s="389">
        <v>5</v>
      </c>
      <c r="Q35" s="388">
        <f t="shared" si="1"/>
        <v>500</v>
      </c>
      <c r="R35" s="388">
        <f t="shared" si="1"/>
        <v>1000</v>
      </c>
      <c r="S35" s="389">
        <f>H35+(L35*P35)</f>
        <v>5</v>
      </c>
      <c r="T35" s="389">
        <f>I35+(M35*P35)</f>
        <v>10</v>
      </c>
      <c r="U35" s="397" t="s">
        <v>460</v>
      </c>
      <c r="V35" s="58" t="s">
        <v>472</v>
      </c>
    </row>
    <row r="36" spans="1:22" ht="36" customHeight="1">
      <c r="A36" s="353"/>
      <c r="B36" s="354"/>
      <c r="C36" s="391" t="s">
        <v>76</v>
      </c>
      <c r="D36" s="391"/>
      <c r="E36" s="332">
        <v>2.2</v>
      </c>
      <c r="F36" s="376" t="s">
        <v>281</v>
      </c>
      <c r="G36" s="391"/>
      <c r="H36" s="389"/>
      <c r="I36" s="389"/>
      <c r="J36" s="359">
        <v>0</v>
      </c>
      <c r="K36" s="359">
        <v>0</v>
      </c>
      <c r="L36" s="389">
        <v>1</v>
      </c>
      <c r="M36" s="389">
        <v>2</v>
      </c>
      <c r="N36" s="358"/>
      <c r="O36" s="358"/>
      <c r="P36" s="358">
        <v>4</v>
      </c>
      <c r="Q36" s="388">
        <f t="shared" si="1"/>
        <v>400</v>
      </c>
      <c r="R36" s="388">
        <f t="shared" si="1"/>
        <v>800</v>
      </c>
      <c r="S36" s="389">
        <f>H36+(L36*P36)</f>
        <v>4</v>
      </c>
      <c r="T36" s="389">
        <f>I36+(M36*P36)</f>
        <v>8</v>
      </c>
      <c r="U36" s="397" t="s">
        <v>461</v>
      </c>
      <c r="V36" s="58" t="s">
        <v>472</v>
      </c>
    </row>
    <row r="37" spans="1:22" ht="36" customHeight="1">
      <c r="A37" s="353"/>
      <c r="B37" s="354"/>
      <c r="C37" s="391" t="s">
        <v>102</v>
      </c>
      <c r="D37" s="391"/>
      <c r="E37" s="332">
        <v>3.2</v>
      </c>
      <c r="F37" s="376" t="s">
        <v>282</v>
      </c>
      <c r="G37" s="391"/>
      <c r="H37" s="389"/>
      <c r="I37" s="389"/>
      <c r="J37" s="359">
        <v>0</v>
      </c>
      <c r="K37" s="359">
        <v>0</v>
      </c>
      <c r="L37" s="389">
        <v>1</v>
      </c>
      <c r="M37" s="389">
        <v>2</v>
      </c>
      <c r="N37" s="358"/>
      <c r="O37" s="358"/>
      <c r="P37" s="358">
        <v>3</v>
      </c>
      <c r="Q37" s="388">
        <f t="shared" si="1"/>
        <v>300</v>
      </c>
      <c r="R37" s="388">
        <f t="shared" si="1"/>
        <v>600</v>
      </c>
      <c r="S37" s="389">
        <f>H37+(L37*P37)</f>
        <v>3</v>
      </c>
      <c r="T37" s="389">
        <f>I37+(M37*P37)</f>
        <v>6</v>
      </c>
      <c r="U37" s="397" t="s">
        <v>461</v>
      </c>
      <c r="V37" s="58" t="s">
        <v>472</v>
      </c>
    </row>
    <row r="38" spans="1:22" ht="36" customHeight="1">
      <c r="A38" s="353"/>
      <c r="B38" s="354"/>
      <c r="C38" s="397" t="s">
        <v>170</v>
      </c>
      <c r="D38" s="391"/>
      <c r="E38" s="332">
        <v>5.2</v>
      </c>
      <c r="F38" s="393" t="s">
        <v>283</v>
      </c>
      <c r="G38" s="391"/>
      <c r="H38" s="389"/>
      <c r="I38" s="389"/>
      <c r="J38" s="359">
        <v>0</v>
      </c>
      <c r="K38" s="359">
        <v>0</v>
      </c>
      <c r="L38" s="389">
        <v>1</v>
      </c>
      <c r="M38" s="389">
        <v>2</v>
      </c>
      <c r="N38" s="358"/>
      <c r="O38" s="358"/>
      <c r="P38" s="358">
        <v>1</v>
      </c>
      <c r="Q38" s="388">
        <f t="shared" si="1"/>
        <v>100</v>
      </c>
      <c r="R38" s="388">
        <f t="shared" si="1"/>
        <v>200</v>
      </c>
      <c r="S38" s="389">
        <f>H38+(L38*P38)</f>
        <v>1</v>
      </c>
      <c r="T38" s="389">
        <f>I38+(M38*P38)</f>
        <v>2</v>
      </c>
      <c r="U38" s="397" t="s">
        <v>461</v>
      </c>
      <c r="V38" s="58" t="s">
        <v>472</v>
      </c>
    </row>
    <row r="39" spans="1:21" ht="36" customHeight="1">
      <c r="A39" s="349"/>
      <c r="B39" s="350"/>
      <c r="C39" s="351"/>
      <c r="D39" s="351"/>
      <c r="E39" s="695" t="s">
        <v>284</v>
      </c>
      <c r="F39" s="696"/>
      <c r="G39" s="351"/>
      <c r="H39" s="352"/>
      <c r="I39" s="352"/>
      <c r="J39" s="352"/>
      <c r="K39" s="365"/>
      <c r="L39" s="352"/>
      <c r="M39" s="352"/>
      <c r="N39" s="352"/>
      <c r="O39" s="352"/>
      <c r="P39" s="366"/>
      <c r="Q39" s="366"/>
      <c r="R39" s="365"/>
      <c r="S39" s="352"/>
      <c r="T39" s="352"/>
      <c r="U39" s="401"/>
    </row>
    <row r="40" spans="1:22" ht="39.75" customHeight="1">
      <c r="A40" s="353"/>
      <c r="B40" s="354"/>
      <c r="C40" s="391" t="s">
        <v>287</v>
      </c>
      <c r="D40" s="391"/>
      <c r="E40" s="391"/>
      <c r="F40" s="376" t="s">
        <v>172</v>
      </c>
      <c r="G40" s="391"/>
      <c r="H40" s="389"/>
      <c r="I40" s="389"/>
      <c r="J40" s="359">
        <v>0</v>
      </c>
      <c r="K40" s="359">
        <v>0</v>
      </c>
      <c r="L40" s="358">
        <v>4</v>
      </c>
      <c r="M40" s="358">
        <v>8</v>
      </c>
      <c r="N40" s="358"/>
      <c r="O40" s="358"/>
      <c r="P40" s="358">
        <v>5</v>
      </c>
      <c r="Q40" s="388">
        <f aca="true" t="shared" si="4" ref="Q40:R43">H40*$C$2+J40+((L40*$C$2+N40)*$P40)</f>
        <v>2000</v>
      </c>
      <c r="R40" s="388">
        <f t="shared" si="4"/>
        <v>4000</v>
      </c>
      <c r="S40" s="367">
        <v>5</v>
      </c>
      <c r="T40" s="368">
        <v>10</v>
      </c>
      <c r="U40" s="397" t="s">
        <v>573</v>
      </c>
      <c r="V40" s="58" t="s">
        <v>472</v>
      </c>
    </row>
    <row r="41" spans="1:22" ht="36" customHeight="1">
      <c r="A41" s="353"/>
      <c r="B41" s="354"/>
      <c r="C41" s="391" t="s">
        <v>287</v>
      </c>
      <c r="D41" s="391"/>
      <c r="E41" s="391"/>
      <c r="F41" s="393" t="s">
        <v>285</v>
      </c>
      <c r="G41" s="391"/>
      <c r="H41" s="389"/>
      <c r="I41" s="389"/>
      <c r="J41" s="359">
        <v>0</v>
      </c>
      <c r="K41" s="359">
        <v>0</v>
      </c>
      <c r="L41" s="358">
        <v>4</v>
      </c>
      <c r="M41" s="358">
        <v>8</v>
      </c>
      <c r="N41" s="358"/>
      <c r="O41" s="358"/>
      <c r="P41" s="358">
        <v>5</v>
      </c>
      <c r="Q41" s="388">
        <f t="shared" si="4"/>
        <v>2000</v>
      </c>
      <c r="R41" s="388">
        <f t="shared" si="4"/>
        <v>4000</v>
      </c>
      <c r="S41" s="367">
        <v>5</v>
      </c>
      <c r="T41" s="368">
        <v>10</v>
      </c>
      <c r="U41" s="397" t="s">
        <v>574</v>
      </c>
      <c r="V41" s="58" t="s">
        <v>472</v>
      </c>
    </row>
    <row r="42" spans="1:22" ht="36" customHeight="1">
      <c r="A42" s="353"/>
      <c r="B42" s="354"/>
      <c r="C42" s="391" t="s">
        <v>287</v>
      </c>
      <c r="D42" s="391"/>
      <c r="E42" s="391"/>
      <c r="F42" s="393" t="s">
        <v>174</v>
      </c>
      <c r="G42" s="391"/>
      <c r="H42" s="389"/>
      <c r="I42" s="389"/>
      <c r="J42" s="359">
        <v>0</v>
      </c>
      <c r="K42" s="359">
        <v>0</v>
      </c>
      <c r="L42" s="358">
        <v>2</v>
      </c>
      <c r="M42" s="358">
        <v>4</v>
      </c>
      <c r="N42" s="358"/>
      <c r="O42" s="358"/>
      <c r="P42" s="358">
        <v>5</v>
      </c>
      <c r="Q42" s="388">
        <f t="shared" si="4"/>
        <v>1000</v>
      </c>
      <c r="R42" s="388">
        <f t="shared" si="4"/>
        <v>2000</v>
      </c>
      <c r="S42" s="367">
        <v>5</v>
      </c>
      <c r="T42" s="368">
        <v>10</v>
      </c>
      <c r="U42" s="397" t="s">
        <v>575</v>
      </c>
      <c r="V42" s="58" t="s">
        <v>472</v>
      </c>
    </row>
    <row r="43" spans="1:22" ht="54" customHeight="1">
      <c r="A43" s="354"/>
      <c r="B43" s="354"/>
      <c r="C43" s="391" t="s">
        <v>76</v>
      </c>
      <c r="D43" s="391"/>
      <c r="E43" s="391"/>
      <c r="F43" s="393" t="s">
        <v>286</v>
      </c>
      <c r="G43" s="391"/>
      <c r="H43" s="389"/>
      <c r="I43" s="389"/>
      <c r="J43" s="359">
        <v>0</v>
      </c>
      <c r="K43" s="359">
        <v>0</v>
      </c>
      <c r="L43" s="358">
        <v>2</v>
      </c>
      <c r="M43" s="358">
        <v>4</v>
      </c>
      <c r="N43" s="358"/>
      <c r="O43" s="358"/>
      <c r="P43" s="358">
        <v>5</v>
      </c>
      <c r="Q43" s="388">
        <f t="shared" si="4"/>
        <v>1000</v>
      </c>
      <c r="R43" s="388">
        <f t="shared" si="4"/>
        <v>2000</v>
      </c>
      <c r="S43" s="367">
        <v>5</v>
      </c>
      <c r="T43" s="368">
        <v>10</v>
      </c>
      <c r="U43" s="397" t="s">
        <v>576</v>
      </c>
      <c r="V43" s="58" t="s">
        <v>472</v>
      </c>
    </row>
    <row r="44" spans="1:21" ht="36" customHeight="1">
      <c r="A44"/>
      <c r="B44" s="369"/>
      <c r="C44" s="338"/>
      <c r="D44" s="338"/>
      <c r="E44" s="338"/>
      <c r="F44" s="338"/>
      <c r="G44" s="338"/>
      <c r="H44" s="340"/>
      <c r="I44" s="340"/>
      <c r="J44" s="340"/>
      <c r="K44" s="339"/>
      <c r="L44" s="340"/>
      <c r="M44" s="340"/>
      <c r="N44" s="340"/>
      <c r="O44" s="340"/>
      <c r="P44" s="341" t="s">
        <v>330</v>
      </c>
      <c r="Q44" s="342">
        <f>ROUND((SUM(Q17:Q43)),3-(INT(LOG((SUM(Q17:Q43)))+1)))</f>
        <v>25300</v>
      </c>
      <c r="R44" s="342">
        <f>ROUND((SUM(R17:R43)),3-(INT(LOG((SUM(R17:R43)))+1)))</f>
        <v>51600</v>
      </c>
      <c r="S44" s="343">
        <f>ROUND((SUM(S17:S43)),3-(INT(LOG((SUM(S17:S43)))+1)))</f>
        <v>213</v>
      </c>
      <c r="T44" s="343">
        <f>ROUND((SUM(T17:T43)),3-(INT(LOG((SUM(T17:T43)))+1)))</f>
        <v>436</v>
      </c>
      <c r="U44" s="391"/>
    </row>
    <row r="45" spans="1:21" ht="13.5">
      <c r="A45"/>
      <c r="G45" s="2"/>
      <c r="U45"/>
    </row>
    <row r="46" spans="1:21" ht="13.5">
      <c r="A46"/>
      <c r="U46"/>
    </row>
    <row r="47" spans="1:21" ht="13.5">
      <c r="A47"/>
      <c r="U47"/>
    </row>
    <row r="48" spans="1:21" ht="13.5">
      <c r="A48"/>
      <c r="U48"/>
    </row>
    <row r="49" spans="1:21" ht="13.5" customHeight="1">
      <c r="A49"/>
      <c r="U49"/>
    </row>
    <row r="50" spans="1:21" ht="55.5" customHeight="1">
      <c r="A50"/>
      <c r="U50"/>
    </row>
    <row r="51" spans="1:21" ht="13.5">
      <c r="A51"/>
      <c r="U51"/>
    </row>
    <row r="52" spans="1:21" ht="126" customHeight="1">
      <c r="A52"/>
      <c r="U52"/>
    </row>
    <row r="53" spans="1:21" ht="13.5">
      <c r="A53"/>
      <c r="U53"/>
    </row>
    <row r="54" spans="1:21" ht="13.5">
      <c r="A54"/>
      <c r="C54"/>
      <c r="H54"/>
      <c r="I54"/>
      <c r="J54"/>
      <c r="K54"/>
      <c r="L54"/>
      <c r="M54"/>
      <c r="N54"/>
      <c r="O54"/>
      <c r="P54"/>
      <c r="Q54"/>
      <c r="R54"/>
      <c r="S54"/>
      <c r="T54"/>
      <c r="U54"/>
    </row>
    <row r="55" spans="1:21" ht="13.5">
      <c r="A55"/>
      <c r="C55"/>
      <c r="H55"/>
      <c r="I55"/>
      <c r="J55"/>
      <c r="K55"/>
      <c r="L55"/>
      <c r="M55"/>
      <c r="N55"/>
      <c r="O55"/>
      <c r="P55"/>
      <c r="Q55"/>
      <c r="R55"/>
      <c r="S55"/>
      <c r="T55"/>
      <c r="U55"/>
    </row>
    <row r="56" spans="1:21" ht="48.75" customHeight="1">
      <c r="A56"/>
      <c r="C56"/>
      <c r="H56"/>
      <c r="I56"/>
      <c r="J56"/>
      <c r="K56"/>
      <c r="L56"/>
      <c r="M56"/>
      <c r="N56"/>
      <c r="O56"/>
      <c r="P56"/>
      <c r="Q56"/>
      <c r="R56"/>
      <c r="S56"/>
      <c r="T56"/>
      <c r="U56"/>
    </row>
    <row r="57" spans="1:21" ht="55.5" customHeight="1">
      <c r="A57"/>
      <c r="C57"/>
      <c r="H57"/>
      <c r="I57"/>
      <c r="J57"/>
      <c r="K57"/>
      <c r="L57"/>
      <c r="M57"/>
      <c r="N57"/>
      <c r="O57"/>
      <c r="P57"/>
      <c r="Q57"/>
      <c r="R57"/>
      <c r="S57"/>
      <c r="T57"/>
      <c r="U57"/>
    </row>
    <row r="58" spans="1:21" ht="13.5">
      <c r="A58"/>
      <c r="C58"/>
      <c r="H58"/>
      <c r="I58"/>
      <c r="J58"/>
      <c r="K58"/>
      <c r="L58"/>
      <c r="M58"/>
      <c r="N58"/>
      <c r="O58"/>
      <c r="P58"/>
      <c r="Q58"/>
      <c r="R58"/>
      <c r="S58"/>
      <c r="T58"/>
      <c r="U58"/>
    </row>
    <row r="59" spans="1:21" ht="13.5">
      <c r="A59"/>
      <c r="C59"/>
      <c r="H59"/>
      <c r="I59"/>
      <c r="J59"/>
      <c r="K59"/>
      <c r="L59"/>
      <c r="M59"/>
      <c r="N59"/>
      <c r="O59"/>
      <c r="P59"/>
      <c r="Q59"/>
      <c r="R59"/>
      <c r="S59"/>
      <c r="T59"/>
      <c r="U59"/>
    </row>
    <row r="60" spans="1:21" ht="42" customHeight="1">
      <c r="A60"/>
      <c r="C60"/>
      <c r="H60"/>
      <c r="I60"/>
      <c r="J60"/>
      <c r="K60"/>
      <c r="L60"/>
      <c r="M60"/>
      <c r="N60"/>
      <c r="O60"/>
      <c r="P60"/>
      <c r="Q60"/>
      <c r="R60"/>
      <c r="S60"/>
      <c r="T60"/>
      <c r="U60"/>
    </row>
    <row r="61" spans="1:21" ht="42" customHeight="1">
      <c r="A61"/>
      <c r="C61"/>
      <c r="H61"/>
      <c r="I61"/>
      <c r="J61"/>
      <c r="K61"/>
      <c r="L61"/>
      <c r="M61"/>
      <c r="N61"/>
      <c r="O61"/>
      <c r="P61"/>
      <c r="Q61"/>
      <c r="R61"/>
      <c r="S61"/>
      <c r="T61"/>
      <c r="U61"/>
    </row>
    <row r="62" spans="1:21" ht="13.5">
      <c r="A62"/>
      <c r="C62"/>
      <c r="H62"/>
      <c r="I62"/>
      <c r="J62"/>
      <c r="K62"/>
      <c r="L62"/>
      <c r="M62"/>
      <c r="N62"/>
      <c r="O62"/>
      <c r="P62"/>
      <c r="Q62"/>
      <c r="R62"/>
      <c r="S62"/>
      <c r="T62"/>
      <c r="U62"/>
    </row>
    <row r="63" spans="1:21" ht="13.5" customHeight="1">
      <c r="A63"/>
      <c r="C63"/>
      <c r="H63"/>
      <c r="I63"/>
      <c r="J63"/>
      <c r="K63"/>
      <c r="L63"/>
      <c r="M63"/>
      <c r="N63"/>
      <c r="O63"/>
      <c r="P63"/>
      <c r="Q63"/>
      <c r="R63"/>
      <c r="S63"/>
      <c r="T63"/>
      <c r="U63"/>
    </row>
    <row r="64" spans="1:21" ht="13.5">
      <c r="A64"/>
      <c r="C64"/>
      <c r="H64"/>
      <c r="I64"/>
      <c r="J64"/>
      <c r="K64"/>
      <c r="L64"/>
      <c r="M64"/>
      <c r="N64"/>
      <c r="O64"/>
      <c r="P64"/>
      <c r="Q64"/>
      <c r="R64"/>
      <c r="S64"/>
      <c r="T64"/>
      <c r="U64"/>
    </row>
    <row r="65" spans="1:21" ht="13.5" customHeight="1">
      <c r="A65"/>
      <c r="C65"/>
      <c r="H65"/>
      <c r="I65"/>
      <c r="J65"/>
      <c r="K65"/>
      <c r="L65"/>
      <c r="M65"/>
      <c r="N65"/>
      <c r="O65"/>
      <c r="P65"/>
      <c r="Q65"/>
      <c r="R65"/>
      <c r="S65"/>
      <c r="T65"/>
      <c r="U65"/>
    </row>
    <row r="66" spans="1:21" ht="42" customHeight="1">
      <c r="A66"/>
      <c r="C66"/>
      <c r="H66"/>
      <c r="I66"/>
      <c r="J66"/>
      <c r="K66"/>
      <c r="L66"/>
      <c r="M66"/>
      <c r="N66"/>
      <c r="O66"/>
      <c r="P66"/>
      <c r="Q66"/>
      <c r="R66"/>
      <c r="S66"/>
      <c r="T66"/>
      <c r="U66"/>
    </row>
    <row r="67" spans="1:21" ht="13.5">
      <c r="A67"/>
      <c r="C67"/>
      <c r="H67"/>
      <c r="I67"/>
      <c r="J67"/>
      <c r="K67"/>
      <c r="L67"/>
      <c r="M67"/>
      <c r="N67"/>
      <c r="O67"/>
      <c r="P67"/>
      <c r="Q67"/>
      <c r="R67"/>
      <c r="S67"/>
      <c r="T67"/>
      <c r="U67"/>
    </row>
    <row r="68" spans="1:21" ht="69.75" customHeight="1">
      <c r="A68"/>
      <c r="C68"/>
      <c r="H68"/>
      <c r="I68"/>
      <c r="J68"/>
      <c r="K68"/>
      <c r="L68"/>
      <c r="M68"/>
      <c r="N68"/>
      <c r="O68"/>
      <c r="P68"/>
      <c r="Q68"/>
      <c r="R68"/>
      <c r="S68"/>
      <c r="T68"/>
      <c r="U68"/>
    </row>
    <row r="69" spans="1:21" ht="13.5">
      <c r="A69"/>
      <c r="C69"/>
      <c r="H69"/>
      <c r="I69"/>
      <c r="J69"/>
      <c r="K69"/>
      <c r="L69"/>
      <c r="M69"/>
      <c r="N69"/>
      <c r="O69"/>
      <c r="P69"/>
      <c r="Q69"/>
      <c r="R69"/>
      <c r="S69"/>
      <c r="T69"/>
      <c r="U69"/>
    </row>
    <row r="70" spans="1:21" ht="13.5">
      <c r="A70"/>
      <c r="C70"/>
      <c r="H70"/>
      <c r="I70"/>
      <c r="J70"/>
      <c r="K70"/>
      <c r="L70"/>
      <c r="M70"/>
      <c r="N70"/>
      <c r="O70"/>
      <c r="P70"/>
      <c r="Q70"/>
      <c r="R70"/>
      <c r="S70"/>
      <c r="T70"/>
      <c r="U70"/>
    </row>
    <row r="71" spans="1:21" ht="13.5">
      <c r="A71"/>
      <c r="C71"/>
      <c r="H71"/>
      <c r="I71"/>
      <c r="J71"/>
      <c r="K71"/>
      <c r="L71"/>
      <c r="M71"/>
      <c r="N71"/>
      <c r="O71"/>
      <c r="P71"/>
      <c r="Q71"/>
      <c r="R71"/>
      <c r="S71"/>
      <c r="T71"/>
      <c r="U71"/>
    </row>
    <row r="72" spans="1:21" ht="13.5">
      <c r="A72"/>
      <c r="C72"/>
      <c r="H72"/>
      <c r="I72"/>
      <c r="J72"/>
      <c r="K72"/>
      <c r="L72"/>
      <c r="M72"/>
      <c r="N72"/>
      <c r="O72"/>
      <c r="P72"/>
      <c r="Q72"/>
      <c r="R72"/>
      <c r="S72"/>
      <c r="T72"/>
      <c r="U72"/>
    </row>
    <row r="73" spans="1:21" ht="13.5">
      <c r="A73"/>
      <c r="C73"/>
      <c r="H73"/>
      <c r="I73"/>
      <c r="J73"/>
      <c r="K73"/>
      <c r="L73"/>
      <c r="M73"/>
      <c r="N73"/>
      <c r="O73"/>
      <c r="P73"/>
      <c r="Q73"/>
      <c r="R73"/>
      <c r="S73"/>
      <c r="T73"/>
      <c r="U73"/>
    </row>
    <row r="74" spans="1:21" ht="13.5">
      <c r="A74"/>
      <c r="C74"/>
      <c r="H74"/>
      <c r="I74"/>
      <c r="J74"/>
      <c r="K74"/>
      <c r="L74"/>
      <c r="M74"/>
      <c r="N74"/>
      <c r="O74"/>
      <c r="P74"/>
      <c r="Q74"/>
      <c r="R74"/>
      <c r="S74"/>
      <c r="T74"/>
      <c r="U74"/>
    </row>
    <row r="75" spans="1:21" ht="13.5">
      <c r="A75"/>
      <c r="C75"/>
      <c r="H75"/>
      <c r="I75"/>
      <c r="J75"/>
      <c r="K75"/>
      <c r="L75"/>
      <c r="M75"/>
      <c r="N75"/>
      <c r="O75"/>
      <c r="P75"/>
      <c r="Q75"/>
      <c r="R75"/>
      <c r="S75"/>
      <c r="T75"/>
      <c r="U75"/>
    </row>
    <row r="76" spans="1:21" ht="13.5">
      <c r="A76"/>
      <c r="C76"/>
      <c r="H76"/>
      <c r="I76"/>
      <c r="J76"/>
      <c r="K76"/>
      <c r="L76"/>
      <c r="M76"/>
      <c r="N76"/>
      <c r="O76"/>
      <c r="P76"/>
      <c r="Q76"/>
      <c r="R76"/>
      <c r="S76"/>
      <c r="T76"/>
      <c r="U76"/>
    </row>
    <row r="77" spans="1:21" ht="13.5">
      <c r="A77"/>
      <c r="C77"/>
      <c r="H77"/>
      <c r="I77"/>
      <c r="J77"/>
      <c r="K77"/>
      <c r="L77"/>
      <c r="M77"/>
      <c r="N77"/>
      <c r="O77"/>
      <c r="P77"/>
      <c r="Q77"/>
      <c r="R77"/>
      <c r="S77"/>
      <c r="T77"/>
      <c r="U77"/>
    </row>
    <row r="78" spans="1:21" ht="13.5">
      <c r="A78"/>
      <c r="C78"/>
      <c r="H78"/>
      <c r="I78"/>
      <c r="J78"/>
      <c r="K78"/>
      <c r="L78"/>
      <c r="M78"/>
      <c r="N78"/>
      <c r="O78"/>
      <c r="P78"/>
      <c r="Q78"/>
      <c r="R78"/>
      <c r="S78"/>
      <c r="T78"/>
      <c r="U78"/>
    </row>
    <row r="79" spans="1:21" ht="13.5">
      <c r="A79"/>
      <c r="C79"/>
      <c r="H79"/>
      <c r="I79"/>
      <c r="J79"/>
      <c r="K79"/>
      <c r="L79"/>
      <c r="M79"/>
      <c r="N79"/>
      <c r="O79"/>
      <c r="P79"/>
      <c r="Q79"/>
      <c r="R79"/>
      <c r="S79"/>
      <c r="T79"/>
      <c r="U79"/>
    </row>
    <row r="80" spans="1:21" ht="13.5">
      <c r="A80"/>
      <c r="C80"/>
      <c r="H80"/>
      <c r="I80"/>
      <c r="J80"/>
      <c r="K80"/>
      <c r="L80"/>
      <c r="M80"/>
      <c r="N80"/>
      <c r="O80"/>
      <c r="P80"/>
      <c r="Q80"/>
      <c r="R80"/>
      <c r="S80"/>
      <c r="T80"/>
      <c r="U80"/>
    </row>
    <row r="81" spans="1:21" ht="13.5">
      <c r="A81"/>
      <c r="C81"/>
      <c r="H81"/>
      <c r="I81"/>
      <c r="J81"/>
      <c r="K81"/>
      <c r="L81"/>
      <c r="M81"/>
      <c r="N81"/>
      <c r="O81"/>
      <c r="P81"/>
      <c r="Q81"/>
      <c r="R81"/>
      <c r="S81"/>
      <c r="T81"/>
      <c r="U81"/>
    </row>
    <row r="83" spans="1:21" ht="13.5">
      <c r="A83"/>
      <c r="C83"/>
      <c r="H83"/>
      <c r="I83"/>
      <c r="J83"/>
      <c r="K83"/>
      <c r="L83"/>
      <c r="M83"/>
      <c r="N83"/>
      <c r="O83"/>
      <c r="P83"/>
      <c r="Q83"/>
      <c r="R83"/>
      <c r="S83"/>
      <c r="T83"/>
      <c r="U83"/>
    </row>
    <row r="85" spans="1:21" ht="13.5">
      <c r="A85"/>
      <c r="C85"/>
      <c r="H85"/>
      <c r="I85"/>
      <c r="J85"/>
      <c r="K85"/>
      <c r="L85"/>
      <c r="M85"/>
      <c r="N85"/>
      <c r="O85"/>
      <c r="P85"/>
      <c r="Q85"/>
      <c r="R85"/>
      <c r="S85"/>
      <c r="T85"/>
      <c r="U85"/>
    </row>
    <row r="87" spans="1:21" ht="13.5">
      <c r="A87"/>
      <c r="C87"/>
      <c r="H87"/>
      <c r="I87"/>
      <c r="J87"/>
      <c r="K87"/>
      <c r="L87"/>
      <c r="M87"/>
      <c r="N87"/>
      <c r="O87"/>
      <c r="P87"/>
      <c r="Q87"/>
      <c r="R87"/>
      <c r="S87"/>
      <c r="T87"/>
      <c r="U87"/>
    </row>
    <row r="88" spans="1:21" ht="13.5">
      <c r="A88"/>
      <c r="C88"/>
      <c r="H88"/>
      <c r="I88"/>
      <c r="J88"/>
      <c r="K88"/>
      <c r="L88"/>
      <c r="M88"/>
      <c r="N88"/>
      <c r="O88"/>
      <c r="P88"/>
      <c r="Q88"/>
      <c r="R88"/>
      <c r="S88"/>
      <c r="T88"/>
      <c r="U88"/>
    </row>
  </sheetData>
  <sheetProtection/>
  <mergeCells count="29">
    <mergeCell ref="E39:F39"/>
    <mergeCell ref="E17:F17"/>
    <mergeCell ref="E18:F18"/>
    <mergeCell ref="E19:F19"/>
    <mergeCell ref="E22:F22"/>
    <mergeCell ref="E32:F32"/>
    <mergeCell ref="E34:F34"/>
    <mergeCell ref="V13:V15"/>
    <mergeCell ref="H14:I14"/>
    <mergeCell ref="J14:K14"/>
    <mergeCell ref="L14:M14"/>
    <mergeCell ref="N14:O14"/>
    <mergeCell ref="Q14:R14"/>
    <mergeCell ref="S14:T14"/>
    <mergeCell ref="G13:G15"/>
    <mergeCell ref="H13:K13"/>
    <mergeCell ref="L13:O13"/>
    <mergeCell ref="P13:P15"/>
    <mergeCell ref="Q13:T13"/>
    <mergeCell ref="U13:U15"/>
    <mergeCell ref="A1:C1"/>
    <mergeCell ref="A2:B2"/>
    <mergeCell ref="B4:C4"/>
    <mergeCell ref="D4:E4"/>
    <mergeCell ref="A13:A15"/>
    <mergeCell ref="B13:B15"/>
    <mergeCell ref="C13:C15"/>
    <mergeCell ref="D13:D15"/>
    <mergeCell ref="E13:F15"/>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sheetPr>
    <pageSetUpPr fitToPage="1"/>
  </sheetPr>
  <dimension ref="A1:AB36"/>
  <sheetViews>
    <sheetView zoomScale="75" zoomScaleNormal="75" workbookViewId="0" topLeftCell="A1">
      <pane xSplit="4" ySplit="2" topLeftCell="E3" activePane="bottomRight" state="frozen"/>
      <selection pane="topLeft" activeCell="A1" sqref="A1"/>
      <selection pane="topRight" activeCell="E1" sqref="E1"/>
      <selection pane="bottomLeft" activeCell="A2" sqref="A2"/>
      <selection pane="bottomRight" activeCell="C3" sqref="C3"/>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11.28125" style="0" customWidth="1"/>
    <col min="6" max="6" width="107.28125" style="0" customWidth="1"/>
    <col min="7" max="7" width="24.28125" style="0" customWidth="1"/>
    <col min="8" max="9" width="10.7109375" style="6" customWidth="1"/>
    <col min="10" max="11" width="13.421875" style="24" customWidth="1"/>
    <col min="12" max="13" width="10.7109375" style="6" customWidth="1"/>
    <col min="14" max="16" width="13.421875" style="24" customWidth="1"/>
    <col min="17" max="18" width="10.7109375" style="6" customWidth="1"/>
    <col min="19" max="19" width="13.421875" style="24" customWidth="1"/>
    <col min="20" max="20" width="11.28125" style="24" customWidth="1"/>
    <col min="21" max="21" width="28.8515625" style="0" customWidth="1"/>
    <col min="22" max="22" width="43.140625" style="0" customWidth="1"/>
  </cols>
  <sheetData>
    <row r="1" spans="1:28" s="26" customFormat="1" ht="13.5">
      <c r="A1" s="483" t="s">
        <v>480</v>
      </c>
      <c r="B1" s="466"/>
      <c r="C1" s="467"/>
      <c r="D1" s="45"/>
      <c r="E1" s="45"/>
      <c r="H1" s="25"/>
      <c r="I1" s="25"/>
      <c r="J1" s="45"/>
      <c r="K1" s="45"/>
      <c r="L1" s="25"/>
      <c r="M1" s="25"/>
      <c r="N1" s="45"/>
      <c r="O1" s="45"/>
      <c r="P1" s="45"/>
      <c r="Q1" s="25"/>
      <c r="R1" s="25"/>
      <c r="S1" s="45"/>
      <c r="T1" s="45"/>
      <c r="U1" s="62"/>
      <c r="V1" s="25"/>
      <c r="W1" s="25"/>
      <c r="X1" s="25"/>
      <c r="Y1" s="25"/>
      <c r="Z1"/>
      <c r="AA1"/>
      <c r="AB1" s="64"/>
    </row>
    <row r="2" spans="1:28" s="26" customFormat="1" ht="13.5">
      <c r="A2" s="486" t="s">
        <v>344</v>
      </c>
      <c r="B2" s="487"/>
      <c r="C2" s="313">
        <f>'MS4 Stats'!B10</f>
        <v>100</v>
      </c>
      <c r="D2" s="45"/>
      <c r="E2" s="45"/>
      <c r="H2" s="25"/>
      <c r="I2" s="25"/>
      <c r="J2" s="45"/>
      <c r="K2" s="45"/>
      <c r="L2" s="25"/>
      <c r="M2" s="25"/>
      <c r="N2" s="45"/>
      <c r="O2" s="45"/>
      <c r="P2" s="45"/>
      <c r="Q2" s="25"/>
      <c r="R2" s="25"/>
      <c r="S2" s="45"/>
      <c r="T2" s="45"/>
      <c r="U2" s="62"/>
      <c r="V2" s="25"/>
      <c r="W2" s="25"/>
      <c r="X2" s="25"/>
      <c r="Y2" s="25"/>
      <c r="Z2"/>
      <c r="AA2"/>
      <c r="AB2" s="64"/>
    </row>
    <row r="3" spans="1:28" s="26" customFormat="1" ht="15" customHeight="1">
      <c r="A3"/>
      <c r="B3"/>
      <c r="C3"/>
      <c r="D3" s="3"/>
      <c r="E3"/>
      <c r="H3" s="25"/>
      <c r="I3" s="25"/>
      <c r="J3" s="45"/>
      <c r="K3" s="45"/>
      <c r="L3" s="25"/>
      <c r="M3" s="25"/>
      <c r="N3" s="45"/>
      <c r="O3" s="45"/>
      <c r="P3" s="45"/>
      <c r="Q3" s="25"/>
      <c r="R3" s="25"/>
      <c r="S3" s="45"/>
      <c r="T3" s="45"/>
      <c r="U3" s="62"/>
      <c r="V3" s="25"/>
      <c r="W3" s="25"/>
      <c r="X3" s="25"/>
      <c r="Y3" s="25"/>
      <c r="Z3"/>
      <c r="AA3"/>
      <c r="AB3" s="64"/>
    </row>
    <row r="4" spans="1:28" s="26" customFormat="1" ht="13.5">
      <c r="A4" s="379"/>
      <c r="B4" s="466" t="s">
        <v>482</v>
      </c>
      <c r="C4" s="466"/>
      <c r="D4" s="466" t="s">
        <v>256</v>
      </c>
      <c r="E4" s="467"/>
      <c r="H4" s="25"/>
      <c r="I4" s="25"/>
      <c r="J4"/>
      <c r="K4"/>
      <c r="L4" s="25"/>
      <c r="M4" s="25"/>
      <c r="N4"/>
      <c r="O4"/>
      <c r="P4"/>
      <c r="Q4" s="25"/>
      <c r="R4" s="25"/>
      <c r="S4"/>
      <c r="T4"/>
      <c r="U4" s="62"/>
      <c r="V4" s="25"/>
      <c r="W4" s="25"/>
      <c r="X4" s="25"/>
      <c r="Y4" s="25"/>
      <c r="Z4"/>
      <c r="AA4"/>
      <c r="AB4" s="64"/>
    </row>
    <row r="5" spans="1:28" s="26" customFormat="1" ht="13.5">
      <c r="A5" s="382"/>
      <c r="B5" s="99" t="s">
        <v>301</v>
      </c>
      <c r="C5" s="99" t="s">
        <v>302</v>
      </c>
      <c r="D5" s="99" t="s">
        <v>301</v>
      </c>
      <c r="E5" s="100" t="s">
        <v>302</v>
      </c>
      <c r="H5" s="25"/>
      <c r="I5" s="25"/>
      <c r="J5"/>
      <c r="K5"/>
      <c r="L5" s="25"/>
      <c r="M5" s="25"/>
      <c r="N5"/>
      <c r="O5"/>
      <c r="P5"/>
      <c r="Q5" s="25"/>
      <c r="R5" s="25"/>
      <c r="S5"/>
      <c r="T5"/>
      <c r="U5" s="62"/>
      <c r="V5" s="25"/>
      <c r="W5" s="25"/>
      <c r="X5" s="25"/>
      <c r="Y5" s="25"/>
      <c r="Z5"/>
      <c r="AA5"/>
      <c r="AB5" s="64"/>
    </row>
    <row r="6" spans="1:28" s="26" customFormat="1" ht="13.5">
      <c r="A6" s="314" t="s">
        <v>62</v>
      </c>
      <c r="B6" s="315">
        <f>Q17/5</f>
        <v>0</v>
      </c>
      <c r="C6" s="316">
        <f>R17/5</f>
        <v>0</v>
      </c>
      <c r="D6" s="317">
        <f>S17/5</f>
        <v>0</v>
      </c>
      <c r="E6" s="317">
        <f>T17/5</f>
        <v>0</v>
      </c>
      <c r="H6" s="25"/>
      <c r="I6" s="25"/>
      <c r="J6"/>
      <c r="K6"/>
      <c r="L6" s="25"/>
      <c r="M6" s="25"/>
      <c r="N6"/>
      <c r="O6"/>
      <c r="P6"/>
      <c r="Q6" s="25"/>
      <c r="R6" s="25"/>
      <c r="S6"/>
      <c r="T6"/>
      <c r="U6" s="62"/>
      <c r="V6" s="25"/>
      <c r="W6" s="25"/>
      <c r="X6" s="25"/>
      <c r="Y6" s="25"/>
      <c r="Z6"/>
      <c r="AA6"/>
      <c r="AB6" s="64"/>
    </row>
    <row r="7" spans="1:28" s="26" customFormat="1" ht="13.5">
      <c r="A7" s="318" t="s">
        <v>483</v>
      </c>
      <c r="B7" s="319">
        <f>Q15+Q16</f>
        <v>0</v>
      </c>
      <c r="C7" s="319">
        <f>R15+R16</f>
        <v>0</v>
      </c>
      <c r="D7" s="319">
        <f>S15+S16</f>
        <v>0</v>
      </c>
      <c r="E7" s="319">
        <f>T15+T16</f>
        <v>0</v>
      </c>
      <c r="H7" s="25"/>
      <c r="I7" s="25"/>
      <c r="J7"/>
      <c r="K7"/>
      <c r="L7" s="25"/>
      <c r="M7" s="25"/>
      <c r="N7"/>
      <c r="O7"/>
      <c r="P7"/>
      <c r="Q7" s="25"/>
      <c r="R7" s="25"/>
      <c r="S7"/>
      <c r="T7"/>
      <c r="U7" s="62"/>
      <c r="V7" s="25"/>
      <c r="W7" s="25"/>
      <c r="X7" s="25"/>
      <c r="Y7" s="25"/>
      <c r="Z7"/>
      <c r="AA7"/>
      <c r="AB7" s="64"/>
    </row>
    <row r="8" spans="1:28" s="26" customFormat="1" ht="13.5">
      <c r="A8" s="90" t="s">
        <v>61</v>
      </c>
      <c r="B8" s="91">
        <v>0</v>
      </c>
      <c r="C8" s="91">
        <v>0</v>
      </c>
      <c r="D8" s="92">
        <v>0</v>
      </c>
      <c r="E8" s="93">
        <v>0</v>
      </c>
      <c r="H8" s="25"/>
      <c r="I8" s="25"/>
      <c r="J8"/>
      <c r="K8"/>
      <c r="L8" s="25"/>
      <c r="M8" s="25"/>
      <c r="N8"/>
      <c r="O8"/>
      <c r="P8"/>
      <c r="Q8" s="25"/>
      <c r="R8" s="25"/>
      <c r="S8"/>
      <c r="T8"/>
      <c r="U8" s="62"/>
      <c r="V8" s="25"/>
      <c r="W8" s="25"/>
      <c r="X8" s="25"/>
      <c r="Y8" s="25"/>
      <c r="Z8"/>
      <c r="AA8"/>
      <c r="AB8" s="64"/>
    </row>
    <row r="9" spans="1:28" s="26" customFormat="1" ht="13.5">
      <c r="A9" s="320" t="s">
        <v>481</v>
      </c>
      <c r="B9" s="321">
        <f>Q18</f>
        <v>0</v>
      </c>
      <c r="C9" s="321">
        <f>R18</f>
        <v>0</v>
      </c>
      <c r="D9" s="322">
        <f>S18</f>
        <v>0</v>
      </c>
      <c r="E9" s="323">
        <f>T18</f>
        <v>0</v>
      </c>
      <c r="F9" s="22"/>
      <c r="H9" s="25"/>
      <c r="I9" s="25"/>
      <c r="J9"/>
      <c r="K9"/>
      <c r="L9" s="25"/>
      <c r="M9" s="25"/>
      <c r="N9"/>
      <c r="O9"/>
      <c r="P9"/>
      <c r="Q9" s="25"/>
      <c r="R9" s="25"/>
      <c r="S9"/>
      <c r="T9"/>
      <c r="U9" s="62"/>
      <c r="V9" s="25"/>
      <c r="W9" s="25"/>
      <c r="X9" s="25"/>
      <c r="Y9" s="25"/>
      <c r="Z9"/>
      <c r="AA9"/>
      <c r="AB9" s="64"/>
    </row>
    <row r="10" spans="1:28" ht="13.5">
      <c r="A10"/>
      <c r="B10" s="1"/>
      <c r="E10" s="1"/>
      <c r="F10" s="1"/>
      <c r="H10" s="24"/>
      <c r="I10" s="24"/>
      <c r="L10" s="24"/>
      <c r="M10" s="24"/>
      <c r="Q10" s="24"/>
      <c r="R10" s="24"/>
      <c r="V10" s="24"/>
      <c r="W10" s="24"/>
      <c r="X10" s="24"/>
      <c r="Y10" s="24"/>
      <c r="AB10" s="7"/>
    </row>
    <row r="11" spans="1:21" ht="13.5">
      <c r="A11" s="324"/>
      <c r="B11" s="324"/>
      <c r="C11" s="325"/>
      <c r="D11" s="324"/>
      <c r="E11" s="325"/>
      <c r="F11" s="325"/>
      <c r="G11" s="324"/>
      <c r="H11" s="699" t="s">
        <v>497</v>
      </c>
      <c r="I11" s="699"/>
      <c r="J11" s="699"/>
      <c r="K11" s="699"/>
      <c r="L11" s="699" t="s">
        <v>498</v>
      </c>
      <c r="M11" s="699"/>
      <c r="N11" s="699"/>
      <c r="O11" s="699"/>
      <c r="P11" s="326"/>
      <c r="Q11" s="591" t="s">
        <v>499</v>
      </c>
      <c r="R11" s="592"/>
      <c r="S11" s="592"/>
      <c r="T11" s="593"/>
      <c r="U11" s="324"/>
    </row>
    <row r="12" spans="1:21" ht="73.5">
      <c r="A12" s="306" t="s">
        <v>0</v>
      </c>
      <c r="B12" s="306" t="s">
        <v>28</v>
      </c>
      <c r="C12" s="307" t="s">
        <v>31</v>
      </c>
      <c r="D12" s="307" t="s">
        <v>109</v>
      </c>
      <c r="E12" s="535" t="s">
        <v>25</v>
      </c>
      <c r="F12" s="535"/>
      <c r="G12" s="383" t="s">
        <v>1</v>
      </c>
      <c r="H12" s="700" t="s">
        <v>256</v>
      </c>
      <c r="I12" s="701"/>
      <c r="J12" s="681" t="s">
        <v>453</v>
      </c>
      <c r="K12" s="683"/>
      <c r="L12" s="700" t="s">
        <v>319</v>
      </c>
      <c r="M12" s="701"/>
      <c r="N12" s="681" t="s">
        <v>453</v>
      </c>
      <c r="O12" s="683"/>
      <c r="P12" s="327" t="s">
        <v>261</v>
      </c>
      <c r="Q12" s="684" t="s">
        <v>325</v>
      </c>
      <c r="R12" s="685"/>
      <c r="S12" s="686" t="s">
        <v>475</v>
      </c>
      <c r="T12" s="687"/>
      <c r="U12" s="383" t="s">
        <v>57</v>
      </c>
    </row>
    <row r="13" spans="1:21" ht="15" customHeight="1">
      <c r="A13" s="306"/>
      <c r="B13" s="306"/>
      <c r="C13" s="307"/>
      <c r="D13" s="307"/>
      <c r="E13" s="383"/>
      <c r="F13" s="383"/>
      <c r="G13" s="383"/>
      <c r="H13" s="380" t="s">
        <v>301</v>
      </c>
      <c r="I13" s="380" t="s">
        <v>302</v>
      </c>
      <c r="J13" s="328" t="s">
        <v>301</v>
      </c>
      <c r="K13" s="329" t="s">
        <v>302</v>
      </c>
      <c r="L13" s="380" t="s">
        <v>301</v>
      </c>
      <c r="M13" s="380" t="s">
        <v>302</v>
      </c>
      <c r="N13" s="328" t="s">
        <v>301</v>
      </c>
      <c r="O13" s="329" t="s">
        <v>302</v>
      </c>
      <c r="P13" s="330"/>
      <c r="Q13" s="380" t="s">
        <v>301</v>
      </c>
      <c r="R13" s="380" t="s">
        <v>302</v>
      </c>
      <c r="S13" s="328" t="s">
        <v>301</v>
      </c>
      <c r="T13" s="329" t="s">
        <v>302</v>
      </c>
      <c r="U13" s="383"/>
    </row>
    <row r="14" spans="1:21" ht="13.5" customHeight="1">
      <c r="A14" s="384">
        <v>1</v>
      </c>
      <c r="B14" s="384"/>
      <c r="C14" s="331"/>
      <c r="D14" s="331"/>
      <c r="E14" s="702" t="s">
        <v>208</v>
      </c>
      <c r="F14" s="703"/>
      <c r="G14" s="703"/>
      <c r="H14" s="703"/>
      <c r="I14" s="703"/>
      <c r="J14" s="703"/>
      <c r="K14" s="703"/>
      <c r="L14" s="703"/>
      <c r="M14" s="703"/>
      <c r="N14" s="703"/>
      <c r="O14" s="703"/>
      <c r="P14" s="703"/>
      <c r="Q14" s="703"/>
      <c r="R14" s="703"/>
      <c r="S14" s="703"/>
      <c r="T14" s="703"/>
      <c r="U14" s="704"/>
    </row>
    <row r="15" spans="1:21" ht="27.75">
      <c r="A15" s="332">
        <v>1.1</v>
      </c>
      <c r="B15" s="332" t="s">
        <v>2</v>
      </c>
      <c r="C15" s="332" t="s">
        <v>58</v>
      </c>
      <c r="D15" s="333" t="s">
        <v>60</v>
      </c>
      <c r="E15" s="333"/>
      <c r="F15" s="334" t="s">
        <v>209</v>
      </c>
      <c r="G15" s="391" t="s">
        <v>210</v>
      </c>
      <c r="H15" s="391"/>
      <c r="I15" s="391"/>
      <c r="J15" s="335"/>
      <c r="K15" s="335"/>
      <c r="L15" s="391"/>
      <c r="M15" s="391"/>
      <c r="N15" s="335"/>
      <c r="O15" s="335"/>
      <c r="P15" s="336">
        <v>1</v>
      </c>
      <c r="Q15" s="388">
        <f>(((H15*$C$2)+J15)+((L15*$C$2)+N15))*P15</f>
        <v>0</v>
      </c>
      <c r="R15" s="388">
        <f>(((I15*$C$2)+K15)+((M15*$C$2)+O15))*P15</f>
        <v>0</v>
      </c>
      <c r="S15" s="389">
        <f aca="true" t="shared" si="0" ref="S15:T17">(H15)+(L15*P15)</f>
        <v>0</v>
      </c>
      <c r="T15" s="389">
        <f t="shared" si="0"/>
        <v>0</v>
      </c>
      <c r="U15" s="397" t="s">
        <v>577</v>
      </c>
    </row>
    <row r="16" spans="1:22" ht="111.75">
      <c r="A16" s="332">
        <v>1.2</v>
      </c>
      <c r="B16" s="332" t="s">
        <v>144</v>
      </c>
      <c r="C16" s="332" t="s">
        <v>58</v>
      </c>
      <c r="D16" s="333" t="s">
        <v>60</v>
      </c>
      <c r="E16" s="333"/>
      <c r="F16" s="394" t="s">
        <v>212</v>
      </c>
      <c r="G16" s="391" t="s">
        <v>211</v>
      </c>
      <c r="H16" s="388"/>
      <c r="I16" s="388"/>
      <c r="J16" s="389"/>
      <c r="K16" s="389"/>
      <c r="L16" s="388"/>
      <c r="M16" s="388"/>
      <c r="N16" s="389"/>
      <c r="O16" s="389"/>
      <c r="P16" s="389">
        <v>1</v>
      </c>
      <c r="Q16" s="388">
        <f>(((H16*$C$2)+J16)+((L16*$C$2)+N16))*P16</f>
        <v>0</v>
      </c>
      <c r="R16" s="388">
        <f>(((I16*$C$2)+K16)+((M16*$C$2)+O16))*P16</f>
        <v>0</v>
      </c>
      <c r="S16" s="389">
        <f t="shared" si="0"/>
        <v>0</v>
      </c>
      <c r="T16" s="389">
        <f t="shared" si="0"/>
        <v>0</v>
      </c>
      <c r="U16" s="397" t="s">
        <v>231</v>
      </c>
      <c r="V16" s="7" t="s">
        <v>578</v>
      </c>
    </row>
    <row r="17" spans="1:21" ht="13.5">
      <c r="A17" s="332">
        <v>1.3</v>
      </c>
      <c r="B17" s="332" t="s">
        <v>144</v>
      </c>
      <c r="C17" s="332"/>
      <c r="D17" s="333" t="s">
        <v>62</v>
      </c>
      <c r="E17" s="333"/>
      <c r="F17" s="377" t="s">
        <v>214</v>
      </c>
      <c r="G17" s="391" t="s">
        <v>213</v>
      </c>
      <c r="H17" s="391"/>
      <c r="I17" s="391"/>
      <c r="J17" s="337"/>
      <c r="K17" s="337"/>
      <c r="L17" s="391"/>
      <c r="M17" s="391"/>
      <c r="N17" s="337"/>
      <c r="O17" s="337"/>
      <c r="P17" s="337">
        <v>5</v>
      </c>
      <c r="Q17" s="388">
        <f>(((H17*$C$2)+J17)+((L17*$C$2)+N17))*P17</f>
        <v>0</v>
      </c>
      <c r="R17" s="388">
        <f>(((I17*$C$2)+K17)+((M17*$C$2)+O17))*P17</f>
        <v>0</v>
      </c>
      <c r="S17" s="389">
        <f t="shared" si="0"/>
        <v>0</v>
      </c>
      <c r="T17" s="389">
        <f t="shared" si="0"/>
        <v>0</v>
      </c>
      <c r="U17" s="391"/>
    </row>
    <row r="18" spans="1:21" ht="13.5">
      <c r="A18" s="338"/>
      <c r="B18" s="338"/>
      <c r="C18" s="338"/>
      <c r="D18" s="338"/>
      <c r="E18" s="338"/>
      <c r="F18" s="338"/>
      <c r="G18" s="338"/>
      <c r="H18" s="339"/>
      <c r="I18" s="339"/>
      <c r="J18" s="340"/>
      <c r="K18" s="340"/>
      <c r="L18" s="339"/>
      <c r="M18" s="339"/>
      <c r="N18" s="340"/>
      <c r="O18" s="340"/>
      <c r="P18" s="341" t="s">
        <v>330</v>
      </c>
      <c r="Q18" s="342">
        <f>SUM(Q15:Q17)</f>
        <v>0</v>
      </c>
      <c r="R18" s="342">
        <f>SUM(R15:R17)</f>
        <v>0</v>
      </c>
      <c r="S18" s="342">
        <f>SUM(S15:S17)</f>
        <v>0</v>
      </c>
      <c r="T18" s="343">
        <f>SUM(T5:T17)</f>
        <v>0</v>
      </c>
      <c r="U18" s="391"/>
    </row>
    <row r="23" spans="1:20" ht="13.5">
      <c r="A23"/>
      <c r="C23"/>
      <c r="H23"/>
      <c r="I23"/>
      <c r="J23"/>
      <c r="K23"/>
      <c r="L23"/>
      <c r="M23"/>
      <c r="N23"/>
      <c r="O23"/>
      <c r="P23"/>
      <c r="Q23"/>
      <c r="R23"/>
      <c r="S23"/>
      <c r="T23"/>
    </row>
    <row r="24" spans="1:20" ht="13.5">
      <c r="A24"/>
      <c r="C24"/>
      <c r="H24"/>
      <c r="I24"/>
      <c r="J24"/>
      <c r="K24"/>
      <c r="L24"/>
      <c r="M24"/>
      <c r="N24"/>
      <c r="O24"/>
      <c r="P24"/>
      <c r="Q24"/>
      <c r="R24"/>
      <c r="S24"/>
      <c r="T24"/>
    </row>
    <row r="25" spans="1:20" ht="13.5">
      <c r="A25"/>
      <c r="C25"/>
      <c r="H25"/>
      <c r="I25"/>
      <c r="J25"/>
      <c r="K25"/>
      <c r="L25"/>
      <c r="M25"/>
      <c r="N25"/>
      <c r="O25"/>
      <c r="P25"/>
      <c r="Q25"/>
      <c r="R25"/>
      <c r="S25"/>
      <c r="T25"/>
    </row>
    <row r="26" spans="1:20" ht="13.5">
      <c r="A26"/>
      <c r="C26"/>
      <c r="H26"/>
      <c r="I26"/>
      <c r="J26"/>
      <c r="K26"/>
      <c r="L26"/>
      <c r="M26"/>
      <c r="N26"/>
      <c r="O26"/>
      <c r="P26"/>
      <c r="Q26"/>
      <c r="R26"/>
      <c r="S26"/>
      <c r="T26"/>
    </row>
    <row r="27" spans="1:20" ht="13.5">
      <c r="A27"/>
      <c r="C27"/>
      <c r="H27"/>
      <c r="I27"/>
      <c r="J27"/>
      <c r="K27"/>
      <c r="L27"/>
      <c r="M27"/>
      <c r="N27"/>
      <c r="O27"/>
      <c r="P27"/>
      <c r="Q27"/>
      <c r="R27"/>
      <c r="S27"/>
      <c r="T27"/>
    </row>
    <row r="28" spans="1:20" ht="13.5">
      <c r="A28"/>
      <c r="C28"/>
      <c r="H28"/>
      <c r="I28"/>
      <c r="J28"/>
      <c r="K28"/>
      <c r="L28"/>
      <c r="M28"/>
      <c r="N28"/>
      <c r="O28"/>
      <c r="P28"/>
      <c r="Q28"/>
      <c r="R28"/>
      <c r="S28"/>
      <c r="T28"/>
    </row>
    <row r="29" spans="1:20" ht="13.5">
      <c r="A29"/>
      <c r="C29"/>
      <c r="H29"/>
      <c r="I29"/>
      <c r="J29"/>
      <c r="K29"/>
      <c r="L29"/>
      <c r="M29"/>
      <c r="N29"/>
      <c r="O29"/>
      <c r="P29"/>
      <c r="Q29"/>
      <c r="R29"/>
      <c r="S29"/>
      <c r="T29"/>
    </row>
    <row r="32" spans="1:20" ht="13.5">
      <c r="A32"/>
      <c r="C32"/>
      <c r="H32"/>
      <c r="I32"/>
      <c r="J32"/>
      <c r="K32"/>
      <c r="L32"/>
      <c r="M32"/>
      <c r="N32"/>
      <c r="O32"/>
      <c r="P32"/>
      <c r="Q32"/>
      <c r="R32"/>
      <c r="S32"/>
      <c r="T32"/>
    </row>
    <row r="33" spans="1:20" ht="13.5">
      <c r="A33"/>
      <c r="C33"/>
      <c r="H33"/>
      <c r="I33"/>
      <c r="J33"/>
      <c r="K33"/>
      <c r="L33"/>
      <c r="M33"/>
      <c r="N33"/>
      <c r="O33"/>
      <c r="P33"/>
      <c r="Q33"/>
      <c r="R33"/>
      <c r="S33"/>
      <c r="T33"/>
    </row>
    <row r="34" spans="1:20" ht="13.5">
      <c r="A34"/>
      <c r="C34"/>
      <c r="H34"/>
      <c r="I34"/>
      <c r="J34"/>
      <c r="K34"/>
      <c r="L34"/>
      <c r="M34"/>
      <c r="N34"/>
      <c r="O34"/>
      <c r="P34"/>
      <c r="Q34"/>
      <c r="R34"/>
      <c r="S34"/>
      <c r="T34"/>
    </row>
    <row r="35" spans="1:20" ht="13.5">
      <c r="A35"/>
      <c r="C35"/>
      <c r="H35"/>
      <c r="I35"/>
      <c r="J35"/>
      <c r="K35"/>
      <c r="L35"/>
      <c r="M35"/>
      <c r="N35"/>
      <c r="O35"/>
      <c r="P35"/>
      <c r="Q35"/>
      <c r="R35"/>
      <c r="S35"/>
      <c r="T35"/>
    </row>
    <row r="36" spans="1:20" ht="13.5">
      <c r="A36"/>
      <c r="C36"/>
      <c r="H36"/>
      <c r="I36"/>
      <c r="J36"/>
      <c r="K36"/>
      <c r="L36"/>
      <c r="M36"/>
      <c r="N36"/>
      <c r="O36"/>
      <c r="P36"/>
      <c r="Q36"/>
      <c r="R36"/>
      <c r="S36"/>
      <c r="T36"/>
    </row>
  </sheetData>
  <sheetProtection/>
  <mergeCells count="15">
    <mergeCell ref="L12:M12"/>
    <mergeCell ref="N12:O12"/>
    <mergeCell ref="Q12:R12"/>
    <mergeCell ref="S12:T12"/>
    <mergeCell ref="E14:U14"/>
    <mergeCell ref="Q11:T11"/>
    <mergeCell ref="E12:F12"/>
    <mergeCell ref="H12:I12"/>
    <mergeCell ref="J12:K12"/>
    <mergeCell ref="A1:C1"/>
    <mergeCell ref="A2:B2"/>
    <mergeCell ref="B4:C4"/>
    <mergeCell ref="D4:E4"/>
    <mergeCell ref="H11:K11"/>
    <mergeCell ref="L11:O11"/>
  </mergeCells>
  <printOptions/>
  <pageMargins left="0.7" right="0.7" top="0.75" bottom="0.75" header="0.3" footer="0.3"/>
  <pageSetup fitToHeight="1" fitToWidth="1" orientation="landscape" scale="53"/>
  <rowBreaks count="1" manualBreakCount="1">
    <brk id="21" max="255" man="1"/>
  </rowBreaks>
</worksheet>
</file>

<file path=xl/worksheets/sheet12.xml><?xml version="1.0" encoding="utf-8"?>
<worksheet xmlns="http://schemas.openxmlformats.org/spreadsheetml/2006/main" xmlns:r="http://schemas.openxmlformats.org/officeDocument/2006/relationships">
  <dimension ref="A1:D29"/>
  <sheetViews>
    <sheetView workbookViewId="0" topLeftCell="A1">
      <selection activeCell="J26" sqref="J26"/>
    </sheetView>
  </sheetViews>
  <sheetFormatPr defaultColWidth="12.57421875" defaultRowHeight="15"/>
  <cols>
    <col min="1" max="1" width="55.421875" style="5" bestFit="1" customWidth="1"/>
    <col min="2" max="2" width="18.00390625" style="0" customWidth="1"/>
    <col min="3" max="3" width="19.421875" style="0" bestFit="1" customWidth="1"/>
    <col min="4" max="4" width="15.28125" style="0" customWidth="1"/>
    <col min="5" max="16384" width="12.421875" style="0" customWidth="1"/>
  </cols>
  <sheetData>
    <row r="1" spans="1:4" ht="21.75" customHeight="1">
      <c r="A1" s="12"/>
      <c r="B1" s="13" t="s">
        <v>529</v>
      </c>
      <c r="C1" s="13" t="s">
        <v>530</v>
      </c>
      <c r="D1" s="13" t="s">
        <v>531</v>
      </c>
    </row>
    <row r="2" spans="1:4" ht="21.75" customHeight="1">
      <c r="A2" s="12"/>
      <c r="B2" s="14" t="s">
        <v>232</v>
      </c>
      <c r="C2" s="14" t="s">
        <v>233</v>
      </c>
      <c r="D2" s="14" t="s">
        <v>234</v>
      </c>
    </row>
    <row r="3" spans="1:4" ht="21.75" customHeight="1">
      <c r="A3" s="12" t="s">
        <v>235</v>
      </c>
      <c r="B3" s="15">
        <v>5000</v>
      </c>
      <c r="C3" s="15">
        <v>15000</v>
      </c>
      <c r="D3" s="15">
        <v>50000</v>
      </c>
    </row>
    <row r="4" spans="1:4" ht="21.75" customHeight="1">
      <c r="A4" s="12" t="s">
        <v>470</v>
      </c>
      <c r="B4" s="15">
        <v>2000</v>
      </c>
      <c r="C4" s="15">
        <v>6000</v>
      </c>
      <c r="D4" s="15">
        <v>20000</v>
      </c>
    </row>
    <row r="5" spans="1:4" ht="21.75" customHeight="1">
      <c r="A5" s="12" t="s">
        <v>236</v>
      </c>
      <c r="B5" s="15">
        <v>2000</v>
      </c>
      <c r="C5" s="15">
        <v>14000</v>
      </c>
      <c r="D5" s="15">
        <v>45000</v>
      </c>
    </row>
    <row r="6" spans="1:4" ht="21.75" customHeight="1">
      <c r="A6" s="12" t="s">
        <v>237</v>
      </c>
      <c r="B6" s="15">
        <v>5000</v>
      </c>
      <c r="C6" s="15">
        <v>10000</v>
      </c>
      <c r="D6" s="15">
        <v>25000</v>
      </c>
    </row>
    <row r="7" spans="1:4" ht="21.75" customHeight="1">
      <c r="A7" s="12" t="s">
        <v>238</v>
      </c>
      <c r="B7" s="16">
        <v>500</v>
      </c>
      <c r="C7" s="15">
        <v>1500</v>
      </c>
      <c r="D7" s="15">
        <v>3000</v>
      </c>
    </row>
    <row r="8" spans="1:4" ht="21.75" customHeight="1">
      <c r="A8" s="12" t="s">
        <v>239</v>
      </c>
      <c r="B8" s="16">
        <v>25</v>
      </c>
      <c r="C8" s="16">
        <v>200</v>
      </c>
      <c r="D8" s="15">
        <v>500</v>
      </c>
    </row>
    <row r="9" spans="1:4" ht="21.75" customHeight="1">
      <c r="A9" s="12" t="s">
        <v>240</v>
      </c>
      <c r="B9" s="17">
        <f>B8*10</f>
        <v>250</v>
      </c>
      <c r="C9" s="15">
        <f>C8*10</f>
        <v>2000</v>
      </c>
      <c r="D9" s="15">
        <f>D8*10</f>
        <v>5000</v>
      </c>
    </row>
    <row r="10" spans="1:4" ht="21.75" customHeight="1">
      <c r="A10" s="12" t="s">
        <v>471</v>
      </c>
      <c r="B10" s="60">
        <v>100</v>
      </c>
      <c r="C10" s="60">
        <v>100</v>
      </c>
      <c r="D10" s="60">
        <v>100</v>
      </c>
    </row>
    <row r="11" spans="1:4" ht="21.75" customHeight="1">
      <c r="A11" s="12" t="s">
        <v>241</v>
      </c>
      <c r="B11" s="17">
        <f>B9*0.2</f>
        <v>50</v>
      </c>
      <c r="C11" s="17">
        <f>C9*0.2</f>
        <v>400</v>
      </c>
      <c r="D11" s="15">
        <f>D9*0.2</f>
        <v>1000</v>
      </c>
    </row>
    <row r="12" spans="1:4" ht="21.75" customHeight="1">
      <c r="A12" s="12" t="s">
        <v>242</v>
      </c>
      <c r="B12" s="17">
        <f>B8*3</f>
        <v>75</v>
      </c>
      <c r="C12" s="17">
        <f>C8*3</f>
        <v>600</v>
      </c>
      <c r="D12" s="15">
        <f>D8*3</f>
        <v>1500</v>
      </c>
    </row>
    <row r="13" spans="1:4" ht="21.75" customHeight="1">
      <c r="A13" s="12" t="s">
        <v>243</v>
      </c>
      <c r="B13" s="16" t="s">
        <v>244</v>
      </c>
      <c r="C13" s="16" t="s">
        <v>245</v>
      </c>
      <c r="D13" s="16" t="s">
        <v>246</v>
      </c>
    </row>
    <row r="14" spans="1:4" ht="21.75" customHeight="1">
      <c r="A14" s="12"/>
      <c r="B14" s="16"/>
      <c r="C14" s="16"/>
      <c r="D14" s="16"/>
    </row>
    <row r="15" spans="1:4" ht="21.75" customHeight="1">
      <c r="A15" s="12" t="s">
        <v>247</v>
      </c>
      <c r="B15" s="18">
        <v>0.2</v>
      </c>
      <c r="C15" s="18">
        <v>0.3</v>
      </c>
      <c r="D15" s="18">
        <v>0.4</v>
      </c>
    </row>
    <row r="16" spans="1:4" ht="21.75" customHeight="1">
      <c r="A16" s="12" t="s">
        <v>248</v>
      </c>
      <c r="B16" s="17">
        <f>B9*0.2</f>
        <v>50</v>
      </c>
      <c r="C16" s="17">
        <f>C9*0.3</f>
        <v>600</v>
      </c>
      <c r="D16" s="19">
        <f>D9*0.4</f>
        <v>2000</v>
      </c>
    </row>
    <row r="17" spans="1:4" ht="21.75" customHeight="1">
      <c r="A17" s="12"/>
      <c r="B17" s="17"/>
      <c r="C17" s="17"/>
      <c r="D17" s="19"/>
    </row>
    <row r="18" spans="1:4" ht="21.75" customHeight="1">
      <c r="A18" s="20" t="s">
        <v>249</v>
      </c>
      <c r="B18" s="18">
        <v>0.05</v>
      </c>
      <c r="C18" s="18">
        <v>0.1</v>
      </c>
      <c r="D18" s="18">
        <v>0.15</v>
      </c>
    </row>
    <row r="19" spans="1:4" ht="21.75" customHeight="1">
      <c r="A19" s="20" t="s">
        <v>250</v>
      </c>
      <c r="B19" s="17">
        <f>B8*0.05</f>
        <v>1.25</v>
      </c>
      <c r="C19" s="17">
        <f>C8*0.1</f>
        <v>20</v>
      </c>
      <c r="D19" s="17">
        <f>D8*0.15</f>
        <v>75</v>
      </c>
    </row>
    <row r="20" spans="1:4" ht="21.75" customHeight="1">
      <c r="A20" s="20"/>
      <c r="B20" s="17"/>
      <c r="C20" s="17"/>
      <c r="D20" s="17"/>
    </row>
    <row r="21" spans="1:4" ht="42.75" customHeight="1">
      <c r="A21" s="20" t="s">
        <v>251</v>
      </c>
      <c r="B21" s="17">
        <v>5</v>
      </c>
      <c r="C21" s="17">
        <f>C8*0.25</f>
        <v>50</v>
      </c>
      <c r="D21" s="17">
        <v>150</v>
      </c>
    </row>
    <row r="22" spans="1:4" ht="42.75" customHeight="1">
      <c r="A22" s="20" t="s">
        <v>252</v>
      </c>
      <c r="B22" s="17">
        <v>20</v>
      </c>
      <c r="C22" s="17">
        <f>C8*0.75</f>
        <v>150</v>
      </c>
      <c r="D22" s="17">
        <v>350</v>
      </c>
    </row>
    <row r="23" spans="1:4" ht="21.75" customHeight="1">
      <c r="A23" s="12" t="s">
        <v>477</v>
      </c>
      <c r="B23" s="17">
        <v>10</v>
      </c>
      <c r="C23" s="17">
        <v>75</v>
      </c>
      <c r="D23" s="17">
        <v>190</v>
      </c>
    </row>
    <row r="24" spans="1:4" ht="21.75" customHeight="1">
      <c r="A24" s="12" t="s">
        <v>253</v>
      </c>
      <c r="B24" s="16">
        <f>B23*2</f>
        <v>20</v>
      </c>
      <c r="C24" s="57">
        <f>C23*2</f>
        <v>150</v>
      </c>
      <c r="D24" s="57">
        <f>D23*2</f>
        <v>380</v>
      </c>
    </row>
    <row r="25" spans="1:4" ht="21.75" customHeight="1">
      <c r="A25" s="12" t="s">
        <v>254</v>
      </c>
      <c r="B25" s="16">
        <v>5</v>
      </c>
      <c r="C25" s="16">
        <v>20</v>
      </c>
      <c r="D25" s="16">
        <v>30</v>
      </c>
    </row>
    <row r="26" spans="1:4" ht="42.75" customHeight="1">
      <c r="A26" s="20" t="s">
        <v>255</v>
      </c>
      <c r="B26" s="16">
        <v>5</v>
      </c>
      <c r="C26" s="16">
        <v>10</v>
      </c>
      <c r="D26" s="16">
        <v>20</v>
      </c>
    </row>
    <row r="27" spans="1:4" ht="13.5">
      <c r="A27" s="12"/>
      <c r="B27" s="16"/>
      <c r="C27" s="16"/>
      <c r="D27" s="16"/>
    </row>
    <row r="28" spans="1:4" ht="13.5">
      <c r="A28" s="12"/>
      <c r="B28" s="16"/>
      <c r="C28" s="16"/>
      <c r="D28" s="16"/>
    </row>
    <row r="29" spans="1:4" ht="13.5">
      <c r="A29" s="12"/>
      <c r="B29" s="16"/>
      <c r="C29" s="16"/>
      <c r="D29" s="16"/>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F11"/>
  <sheetViews>
    <sheetView workbookViewId="0" topLeftCell="A1">
      <selection activeCell="L49" sqref="L49"/>
    </sheetView>
  </sheetViews>
  <sheetFormatPr defaultColWidth="8.8515625" defaultRowHeight="15"/>
  <cols>
    <col min="1" max="1" width="33.28125" style="0" customWidth="1"/>
  </cols>
  <sheetData>
    <row r="1" spans="1:6" ht="13.5">
      <c r="A1" s="27"/>
      <c r="B1" s="27"/>
      <c r="C1" s="27" t="s">
        <v>331</v>
      </c>
      <c r="D1" s="27" t="s">
        <v>332</v>
      </c>
      <c r="E1" s="28"/>
      <c r="F1" s="29"/>
    </row>
    <row r="2" spans="1:6" ht="13.5">
      <c r="A2" s="30" t="s">
        <v>333</v>
      </c>
      <c r="B2" s="31">
        <v>50</v>
      </c>
      <c r="C2" s="30">
        <v>1</v>
      </c>
      <c r="D2" s="31">
        <f>B2/C2</f>
        <v>50</v>
      </c>
      <c r="E2" s="32" t="s">
        <v>334</v>
      </c>
      <c r="F2" s="33"/>
    </row>
    <row r="3" spans="1:6" ht="13.5">
      <c r="A3" s="30" t="s">
        <v>335</v>
      </c>
      <c r="B3" s="31">
        <v>57.5</v>
      </c>
      <c r="C3" s="30">
        <v>30</v>
      </c>
      <c r="D3" s="31">
        <f>B3/C3</f>
        <v>1.9166666666666667</v>
      </c>
      <c r="E3" s="34" t="s">
        <v>336</v>
      </c>
      <c r="F3" s="30"/>
    </row>
    <row r="4" spans="1:6" ht="13.5">
      <c r="A4" s="30" t="s">
        <v>337</v>
      </c>
      <c r="B4" s="31">
        <v>45.8</v>
      </c>
      <c r="C4" s="30">
        <v>50</v>
      </c>
      <c r="D4" s="31">
        <f>B4/C4</f>
        <v>0.9159999999999999</v>
      </c>
      <c r="E4" s="30" t="s">
        <v>338</v>
      </c>
      <c r="F4" s="30"/>
    </row>
    <row r="5" spans="1:6" ht="13.5">
      <c r="A5" s="30" t="s">
        <v>339</v>
      </c>
      <c r="B5" s="35">
        <v>469</v>
      </c>
      <c r="C5" s="30"/>
      <c r="D5" s="36"/>
      <c r="E5" s="30" t="s">
        <v>340</v>
      </c>
      <c r="F5" s="30"/>
    </row>
    <row r="6" spans="1:6" ht="13.5">
      <c r="A6" s="30" t="s">
        <v>341</v>
      </c>
      <c r="B6" s="37">
        <v>78.64</v>
      </c>
      <c r="C6" s="30">
        <v>20</v>
      </c>
      <c r="D6" s="31">
        <f>B6/C6</f>
        <v>3.932</v>
      </c>
      <c r="E6" s="30" t="s">
        <v>342</v>
      </c>
      <c r="F6" s="30"/>
    </row>
    <row r="7" spans="1:6" ht="13.5">
      <c r="A7" s="30" t="s">
        <v>343</v>
      </c>
      <c r="B7" s="37">
        <v>59.82</v>
      </c>
      <c r="C7" s="30"/>
      <c r="D7" s="36"/>
      <c r="E7" s="38"/>
      <c r="F7" s="30"/>
    </row>
    <row r="8" spans="1:6" ht="13.5">
      <c r="A8" s="30"/>
      <c r="B8" s="30"/>
      <c r="C8" s="30"/>
      <c r="D8" s="31">
        <f>SUM(D2:D7)</f>
        <v>56.76466666666666</v>
      </c>
      <c r="E8" s="38"/>
      <c r="F8" s="30"/>
    </row>
    <row r="9" spans="1:6" ht="13.5">
      <c r="A9" s="30"/>
      <c r="B9" s="30"/>
      <c r="C9" s="30"/>
      <c r="D9" s="30"/>
      <c r="E9" s="38"/>
      <c r="F9" s="30"/>
    </row>
    <row r="10" spans="1:6" ht="13.5">
      <c r="A10" s="30"/>
      <c r="B10" s="30"/>
      <c r="C10" s="30"/>
      <c r="D10" s="30"/>
      <c r="E10" s="38"/>
      <c r="F10" s="30"/>
    </row>
    <row r="11" spans="1:6" ht="13.5">
      <c r="A11" s="30"/>
      <c r="B11" s="30"/>
      <c r="C11" s="30"/>
      <c r="D11" s="30"/>
      <c r="E11" s="38"/>
      <c r="F11" s="30"/>
    </row>
  </sheetData>
  <sheetProtection/>
  <hyperlinks>
    <hyperlink ref="E3" r:id="rId1" display="http://www.benmeadows.com/chemets-ammonia-water-test-kit_s_16806-1/"/>
  </hyperlink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C10"/>
  <sheetViews>
    <sheetView workbookViewId="0" topLeftCell="A1">
      <selection activeCell="A28" sqref="A28"/>
    </sheetView>
  </sheetViews>
  <sheetFormatPr defaultColWidth="8.8515625" defaultRowHeight="15"/>
  <cols>
    <col min="1" max="1" width="54.140625" style="0" customWidth="1"/>
    <col min="2" max="2" width="36.28125" style="0" customWidth="1"/>
    <col min="3" max="3" width="33.28125" style="0" customWidth="1"/>
  </cols>
  <sheetData>
    <row r="1" spans="1:2" ht="13.5">
      <c r="A1" s="4" t="s">
        <v>187</v>
      </c>
      <c r="B1" s="4" t="s">
        <v>192</v>
      </c>
    </row>
    <row r="2" spans="1:3" ht="42">
      <c r="A2" t="s">
        <v>188</v>
      </c>
      <c r="B2" s="7" t="s">
        <v>206</v>
      </c>
      <c r="C2" s="7" t="s">
        <v>195</v>
      </c>
    </row>
    <row r="3" spans="1:2" ht="13.5">
      <c r="A3" t="s">
        <v>189</v>
      </c>
      <c r="B3" t="s">
        <v>173</v>
      </c>
    </row>
    <row r="4" spans="1:2" ht="42">
      <c r="A4" t="s">
        <v>190</v>
      </c>
      <c r="B4" s="7" t="s">
        <v>204</v>
      </c>
    </row>
    <row r="5" spans="1:2" ht="42">
      <c r="A5" t="s">
        <v>191</v>
      </c>
      <c r="B5" s="7" t="s">
        <v>201</v>
      </c>
    </row>
    <row r="6" spans="1:2" ht="13.5">
      <c r="A6" t="s">
        <v>193</v>
      </c>
      <c r="B6" s="7" t="s">
        <v>205</v>
      </c>
    </row>
    <row r="7" spans="1:2" ht="13.5">
      <c r="A7" t="s">
        <v>197</v>
      </c>
      <c r="B7" t="s">
        <v>198</v>
      </c>
    </row>
    <row r="8" spans="1:2" ht="13.5">
      <c r="A8" t="s">
        <v>194</v>
      </c>
      <c r="B8" t="s">
        <v>196</v>
      </c>
    </row>
    <row r="9" spans="1:2" ht="13.5">
      <c r="A9" t="s">
        <v>199</v>
      </c>
      <c r="B9" t="s">
        <v>202</v>
      </c>
    </row>
    <row r="10" spans="1:2" ht="13.5">
      <c r="A10" t="s">
        <v>200</v>
      </c>
      <c r="B10" t="s">
        <v>203</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X52"/>
  <sheetViews>
    <sheetView zoomScale="85" zoomScaleNormal="85" workbookViewId="0" topLeftCell="A6">
      <selection activeCell="H26" sqref="H26:H29"/>
    </sheetView>
  </sheetViews>
  <sheetFormatPr defaultColWidth="8.8515625" defaultRowHeight="15"/>
  <cols>
    <col min="1" max="1" width="10.421875" style="0" bestFit="1" customWidth="1"/>
    <col min="2" max="2" width="10.421875" style="0" customWidth="1"/>
    <col min="3" max="3" width="10.8515625" style="0" customWidth="1"/>
    <col min="4" max="4" width="12.28125" style="0" customWidth="1"/>
    <col min="5" max="5" width="9.28125" style="0" customWidth="1"/>
    <col min="6" max="6" width="4.140625" style="0" customWidth="1"/>
    <col min="7" max="7" width="56.28125" style="0" customWidth="1"/>
    <col min="8" max="8" width="11.7109375" style="0" customWidth="1"/>
    <col min="9" max="9" width="14.28125" style="0" customWidth="1"/>
    <col min="10" max="11" width="8.8515625" style="0" customWidth="1"/>
    <col min="12" max="12" width="10.421875" style="0" bestFit="1" customWidth="1"/>
    <col min="13" max="13" width="8.8515625" style="0" customWidth="1"/>
    <col min="14" max="14" width="11.421875" style="0" customWidth="1"/>
    <col min="15" max="17" width="8.8515625" style="0" customWidth="1"/>
    <col min="18" max="18" width="10.00390625" style="0" customWidth="1"/>
    <col min="19" max="22" width="8.8515625" style="0" customWidth="1"/>
    <col min="23" max="23" width="50.8515625" style="0" customWidth="1"/>
    <col min="24" max="24" width="55.421875" style="0" bestFit="1" customWidth="1"/>
  </cols>
  <sheetData>
    <row r="1" spans="1:3" s="45" customFormat="1" ht="21.75" customHeight="1">
      <c r="A1" s="483" t="s">
        <v>480</v>
      </c>
      <c r="B1" s="466"/>
      <c r="C1" s="467"/>
    </row>
    <row r="2" spans="1:3" s="45" customFormat="1" ht="21.75" customHeight="1">
      <c r="A2" s="488" t="s">
        <v>344</v>
      </c>
      <c r="B2" s="489"/>
      <c r="C2" s="65">
        <f>'MS4 Stats'!B10</f>
        <v>100</v>
      </c>
    </row>
    <row r="3" spans="1:4" s="45" customFormat="1" ht="21.75" customHeight="1">
      <c r="A3" s="488" t="s">
        <v>468</v>
      </c>
      <c r="B3" s="489"/>
      <c r="C3" s="66">
        <f>'MS4 Stats'!B3</f>
        <v>5000</v>
      </c>
      <c r="D3" s="56"/>
    </row>
    <row r="4" spans="1:4" s="45" customFormat="1" ht="21.75" customHeight="1">
      <c r="A4" s="486" t="s">
        <v>469</v>
      </c>
      <c r="B4" s="487"/>
      <c r="C4" s="67">
        <f>'MS4 Stats'!B4</f>
        <v>2000</v>
      </c>
      <c r="D4" s="56"/>
    </row>
    <row r="5" ht="21.75" customHeight="1">
      <c r="D5" s="3"/>
    </row>
    <row r="6" spans="1:5" ht="21.75" customHeight="1">
      <c r="A6" s="68"/>
      <c r="B6" s="466" t="s">
        <v>482</v>
      </c>
      <c r="C6" s="466"/>
      <c r="D6" s="466" t="s">
        <v>256</v>
      </c>
      <c r="E6" s="467"/>
    </row>
    <row r="7" spans="1:5" ht="21.75" customHeight="1">
      <c r="A7" s="98"/>
      <c r="B7" s="99" t="s">
        <v>301</v>
      </c>
      <c r="C7" s="99" t="s">
        <v>302</v>
      </c>
      <c r="D7" s="99" t="s">
        <v>301</v>
      </c>
      <c r="E7" s="100" t="s">
        <v>302</v>
      </c>
    </row>
    <row r="8" spans="1:5" ht="21.75" customHeight="1">
      <c r="A8" s="81" t="s">
        <v>62</v>
      </c>
      <c r="B8" s="82">
        <f>ROUND(((N22+N26)*C2),3-(INT(LOG(((N22+N26)*C2))+1)))</f>
        <v>1200</v>
      </c>
      <c r="C8" s="83">
        <f>ROUND((((O24+O26)*C2)+Q24),3-(INT(LOG((((O24+O26)*C2)+Q24))+1)))</f>
        <v>8900</v>
      </c>
      <c r="D8" s="84">
        <f>ROUND((N22+N26),3-(INT(LOG((N22+N26))+1)))</f>
        <v>12</v>
      </c>
      <c r="E8" s="85">
        <f>ROUND((O24+O26),3-(INT(LOG((O24+O26))+1)))</f>
        <v>88</v>
      </c>
    </row>
    <row r="9" spans="1:5" ht="21.75" customHeight="1">
      <c r="A9" s="86" t="s">
        <v>483</v>
      </c>
      <c r="B9" s="87">
        <f>ROUND((J20*C2),3-(INT(LOG((J20*C2))+1)))</f>
        <v>1600</v>
      </c>
      <c r="C9" s="87">
        <f>ROUND((K20*C2),3-(INT(LOG((K20*C2))+1)))</f>
        <v>2000</v>
      </c>
      <c r="D9" s="88">
        <f>ROUND(J20,3-(INT(LOG(J20))+1))</f>
        <v>16</v>
      </c>
      <c r="E9" s="88">
        <f>ROUND(K20,3-(INT(LOG(K20))+1))</f>
        <v>20</v>
      </c>
    </row>
    <row r="10" spans="1:5" ht="21.75" customHeight="1">
      <c r="A10" s="90" t="s">
        <v>61</v>
      </c>
      <c r="B10" s="91">
        <v>0</v>
      </c>
      <c r="C10" s="91">
        <f>0</f>
        <v>0</v>
      </c>
      <c r="D10" s="92">
        <v>0</v>
      </c>
      <c r="E10" s="93">
        <v>0</v>
      </c>
    </row>
    <row r="11" spans="1:5" ht="21.75" customHeight="1">
      <c r="A11" s="94" t="s">
        <v>481</v>
      </c>
      <c r="B11" s="95">
        <f>S30</f>
        <v>9400</v>
      </c>
      <c r="C11" s="95">
        <f>T30</f>
        <v>70800</v>
      </c>
      <c r="D11" s="96">
        <f>U30</f>
        <v>94</v>
      </c>
      <c r="E11" s="97">
        <f>V30</f>
        <v>700</v>
      </c>
    </row>
    <row r="12" ht="13.5">
      <c r="D12" s="3"/>
    </row>
    <row r="13" ht="21.75" customHeight="1">
      <c r="D13" s="3"/>
    </row>
    <row r="14" ht="13.5">
      <c r="D14" s="3"/>
    </row>
    <row r="15" ht="13.5">
      <c r="D15" s="3"/>
    </row>
    <row r="16" spans="1:24" ht="97.5" customHeight="1">
      <c r="A16" s="496" t="s">
        <v>0</v>
      </c>
      <c r="B16" s="499" t="s">
        <v>28</v>
      </c>
      <c r="C16" s="502" t="s">
        <v>31</v>
      </c>
      <c r="D16" s="502" t="s">
        <v>109</v>
      </c>
      <c r="E16" s="502" t="s">
        <v>69</v>
      </c>
      <c r="F16" s="505" t="s">
        <v>359</v>
      </c>
      <c r="G16" s="506"/>
      <c r="H16" s="473" t="s">
        <v>1</v>
      </c>
      <c r="I16" s="476" t="s">
        <v>360</v>
      </c>
      <c r="J16" s="468" t="s">
        <v>497</v>
      </c>
      <c r="K16" s="468"/>
      <c r="L16" s="468"/>
      <c r="M16" s="468"/>
      <c r="N16" s="479" t="s">
        <v>498</v>
      </c>
      <c r="O16" s="480"/>
      <c r="P16" s="480"/>
      <c r="Q16" s="480"/>
      <c r="R16" s="481"/>
      <c r="S16" s="479" t="s">
        <v>499</v>
      </c>
      <c r="T16" s="480"/>
      <c r="U16" s="480"/>
      <c r="V16" s="481"/>
      <c r="W16" s="473" t="s">
        <v>57</v>
      </c>
      <c r="X16" s="490" t="s">
        <v>258</v>
      </c>
    </row>
    <row r="17" spans="1:24" ht="34.5" customHeight="1">
      <c r="A17" s="497"/>
      <c r="B17" s="500"/>
      <c r="C17" s="503"/>
      <c r="D17" s="503"/>
      <c r="E17" s="503"/>
      <c r="F17" s="507"/>
      <c r="G17" s="508"/>
      <c r="H17" s="474"/>
      <c r="I17" s="477"/>
      <c r="J17" s="469" t="s">
        <v>256</v>
      </c>
      <c r="K17" s="469"/>
      <c r="L17" s="470" t="s">
        <v>500</v>
      </c>
      <c r="M17" s="470"/>
      <c r="N17" s="482" t="s">
        <v>319</v>
      </c>
      <c r="O17" s="482"/>
      <c r="P17" s="470" t="s">
        <v>500</v>
      </c>
      <c r="Q17" s="470"/>
      <c r="R17" s="482" t="s">
        <v>261</v>
      </c>
      <c r="S17" s="472" t="s">
        <v>325</v>
      </c>
      <c r="T17" s="472"/>
      <c r="U17" s="511" t="s">
        <v>474</v>
      </c>
      <c r="V17" s="511"/>
      <c r="W17" s="474"/>
      <c r="X17" s="491"/>
    </row>
    <row r="18" spans="1:24" ht="21.75" customHeight="1">
      <c r="A18" s="498"/>
      <c r="B18" s="501"/>
      <c r="C18" s="504"/>
      <c r="D18" s="504"/>
      <c r="E18" s="504"/>
      <c r="F18" s="509"/>
      <c r="G18" s="510"/>
      <c r="H18" s="475"/>
      <c r="I18" s="478"/>
      <c r="J18" s="136" t="s">
        <v>301</v>
      </c>
      <c r="K18" s="136" t="s">
        <v>302</v>
      </c>
      <c r="L18" s="115" t="s">
        <v>301</v>
      </c>
      <c r="M18" s="115" t="s">
        <v>302</v>
      </c>
      <c r="N18" s="137" t="s">
        <v>301</v>
      </c>
      <c r="O18" s="137" t="s">
        <v>302</v>
      </c>
      <c r="P18" s="115" t="s">
        <v>301</v>
      </c>
      <c r="Q18" s="115" t="s">
        <v>302</v>
      </c>
      <c r="R18" s="482"/>
      <c r="S18" s="136" t="s">
        <v>301</v>
      </c>
      <c r="T18" s="136" t="s">
        <v>302</v>
      </c>
      <c r="U18" s="136" t="s">
        <v>301</v>
      </c>
      <c r="V18" s="136" t="s">
        <v>302</v>
      </c>
      <c r="W18" s="475"/>
      <c r="X18" s="492"/>
    </row>
    <row r="19" spans="1:24" ht="27.75">
      <c r="A19" s="105">
        <v>1</v>
      </c>
      <c r="B19" s="69" t="s">
        <v>2</v>
      </c>
      <c r="C19" s="69"/>
      <c r="D19" s="70" t="s">
        <v>361</v>
      </c>
      <c r="E19" s="69"/>
      <c r="F19" s="484" t="s">
        <v>362</v>
      </c>
      <c r="G19" s="484"/>
      <c r="H19" s="432" t="s">
        <v>589</v>
      </c>
      <c r="I19" s="69"/>
      <c r="J19" s="69"/>
      <c r="K19" s="69"/>
      <c r="L19" s="69"/>
      <c r="M19" s="69"/>
      <c r="N19" s="69"/>
      <c r="O19" s="69"/>
      <c r="P19" s="69"/>
      <c r="Q19" s="69"/>
      <c r="R19" s="69"/>
      <c r="S19" s="69"/>
      <c r="T19" s="69"/>
      <c r="U19" s="69"/>
      <c r="V19" s="69"/>
      <c r="W19" s="69" t="s">
        <v>371</v>
      </c>
      <c r="X19" s="104"/>
    </row>
    <row r="20" spans="1:24" ht="51" customHeight="1">
      <c r="A20" s="105">
        <f>A19+1</f>
        <v>2</v>
      </c>
      <c r="B20" s="69" t="s">
        <v>2</v>
      </c>
      <c r="C20" s="69" t="s">
        <v>58</v>
      </c>
      <c r="D20" s="71" t="s">
        <v>60</v>
      </c>
      <c r="E20" s="69"/>
      <c r="F20" s="461" t="s">
        <v>363</v>
      </c>
      <c r="G20" s="461"/>
      <c r="H20" s="432" t="s">
        <v>589</v>
      </c>
      <c r="I20" s="69"/>
      <c r="J20" s="69">
        <v>16</v>
      </c>
      <c r="K20" s="69">
        <v>20</v>
      </c>
      <c r="L20" s="69"/>
      <c r="M20" s="69"/>
      <c r="N20" s="69"/>
      <c r="O20" s="69"/>
      <c r="P20" s="69"/>
      <c r="Q20" s="69"/>
      <c r="R20" s="71">
        <v>1</v>
      </c>
      <c r="S20" s="72">
        <f>((J20*$C$2+L20)+((N20*$C$2+P20))*R20)</f>
        <v>1600</v>
      </c>
      <c r="T20" s="72">
        <f>K20*$C$2+M20+((O20*$C$2+Q20)*R20)</f>
        <v>2000</v>
      </c>
      <c r="U20" s="69">
        <f>J20</f>
        <v>16</v>
      </c>
      <c r="V20" s="69">
        <f>K20</f>
        <v>20</v>
      </c>
      <c r="W20" s="76" t="s">
        <v>372</v>
      </c>
      <c r="X20" s="104" t="s">
        <v>472</v>
      </c>
    </row>
    <row r="21" spans="1:24" ht="55.5" customHeight="1">
      <c r="A21" s="464">
        <v>2.1</v>
      </c>
      <c r="B21" s="460" t="s">
        <v>2</v>
      </c>
      <c r="C21" s="462" t="s">
        <v>364</v>
      </c>
      <c r="D21" s="471" t="s">
        <v>365</v>
      </c>
      <c r="E21" s="76"/>
      <c r="F21" s="485" t="s">
        <v>523</v>
      </c>
      <c r="G21" s="485"/>
      <c r="H21" s="460" t="s">
        <v>590</v>
      </c>
      <c r="I21" s="69" t="s">
        <v>366</v>
      </c>
      <c r="J21" s="69"/>
      <c r="K21" s="69"/>
      <c r="L21" s="69"/>
      <c r="M21" s="69"/>
      <c r="N21" s="69">
        <v>6</v>
      </c>
      <c r="O21" s="69">
        <v>8</v>
      </c>
      <c r="P21" s="74">
        <f>(C4*0.05)</f>
        <v>100</v>
      </c>
      <c r="Q21" s="74">
        <f>(C4*0.1)</f>
        <v>200</v>
      </c>
      <c r="R21" s="75">
        <v>1</v>
      </c>
      <c r="S21" s="72">
        <f>J21*$C$2+L21+((N21*$C$2+P21)*R21)</f>
        <v>700</v>
      </c>
      <c r="T21" s="72">
        <f>K21*$C$2+M21+((O21*$C$2+Q21)*R21)</f>
        <v>1000</v>
      </c>
      <c r="U21" s="69">
        <f aca="true" t="shared" si="0" ref="U21:V24">N21*5</f>
        <v>30</v>
      </c>
      <c r="V21" s="69">
        <f t="shared" si="0"/>
        <v>40</v>
      </c>
      <c r="W21" s="76" t="s">
        <v>525</v>
      </c>
      <c r="X21" s="106" t="s">
        <v>473</v>
      </c>
    </row>
    <row r="22" spans="1:24" ht="13.5">
      <c r="A22" s="464"/>
      <c r="B22" s="460"/>
      <c r="C22" s="462"/>
      <c r="D22" s="471"/>
      <c r="E22" s="69"/>
      <c r="F22" s="485"/>
      <c r="G22" s="485"/>
      <c r="H22" s="460"/>
      <c r="I22" s="69" t="s">
        <v>367</v>
      </c>
      <c r="J22" s="69"/>
      <c r="K22" s="69"/>
      <c r="L22" s="69"/>
      <c r="M22" s="69"/>
      <c r="N22" s="69">
        <v>6</v>
      </c>
      <c r="O22" s="69">
        <v>8</v>
      </c>
      <c r="P22" s="69"/>
      <c r="Q22" s="69"/>
      <c r="R22" s="75">
        <v>1</v>
      </c>
      <c r="S22" s="72">
        <f>J22*$C$2+L22+((N22*$C$2+P22)*R22)</f>
        <v>600</v>
      </c>
      <c r="T22" s="72">
        <f>K22*$C$2+M22+((O22*$C$2+Q22)*R22)</f>
        <v>800</v>
      </c>
      <c r="U22" s="69">
        <f t="shared" si="0"/>
        <v>30</v>
      </c>
      <c r="V22" s="69">
        <f t="shared" si="0"/>
        <v>40</v>
      </c>
      <c r="W22" s="69" t="s">
        <v>526</v>
      </c>
      <c r="X22" s="104" t="s">
        <v>472</v>
      </c>
    </row>
    <row r="23" spans="1:24" ht="27.75">
      <c r="A23" s="464"/>
      <c r="B23" s="460"/>
      <c r="C23" s="462"/>
      <c r="D23" s="471"/>
      <c r="E23" s="69"/>
      <c r="F23" s="485"/>
      <c r="G23" s="485"/>
      <c r="H23" s="460"/>
      <c r="I23" s="69" t="s">
        <v>368</v>
      </c>
      <c r="J23" s="69"/>
      <c r="K23" s="69"/>
      <c r="L23" s="74">
        <v>2500</v>
      </c>
      <c r="M23" s="74">
        <v>5000</v>
      </c>
      <c r="N23" s="69">
        <v>4</v>
      </c>
      <c r="O23" s="69">
        <v>8</v>
      </c>
      <c r="P23" s="69"/>
      <c r="Q23" s="69"/>
      <c r="R23" s="75">
        <v>1</v>
      </c>
      <c r="S23" s="72">
        <f>J23*$C$2+L23+((N23*$C$2+P23)*R23)</f>
        <v>2900</v>
      </c>
      <c r="T23" s="72">
        <f>K23*$C$2+M23+((O23*$C$2+Q23)*R23)</f>
        <v>5800</v>
      </c>
      <c r="U23" s="69">
        <f t="shared" si="0"/>
        <v>20</v>
      </c>
      <c r="V23" s="69">
        <f t="shared" si="0"/>
        <v>40</v>
      </c>
      <c r="W23" s="76" t="s">
        <v>527</v>
      </c>
      <c r="X23" s="104" t="s">
        <v>472</v>
      </c>
    </row>
    <row r="24" spans="1:24" ht="42">
      <c r="A24" s="464"/>
      <c r="B24" s="460"/>
      <c r="C24" s="462"/>
      <c r="D24" s="471"/>
      <c r="E24" s="69"/>
      <c r="F24" s="485"/>
      <c r="G24" s="485"/>
      <c r="H24" s="460"/>
      <c r="I24" s="69" t="s">
        <v>369</v>
      </c>
      <c r="J24" s="69"/>
      <c r="K24" s="69"/>
      <c r="L24" s="69"/>
      <c r="M24" s="69"/>
      <c r="N24" s="69">
        <v>32</v>
      </c>
      <c r="O24" s="69">
        <v>80</v>
      </c>
      <c r="P24" s="74">
        <v>50</v>
      </c>
      <c r="Q24" s="74">
        <v>100</v>
      </c>
      <c r="R24" s="75">
        <v>1</v>
      </c>
      <c r="S24" s="72">
        <f>J24*$C$2+L24+((N24*$C$2+P24)*R24)</f>
        <v>3250</v>
      </c>
      <c r="T24" s="72">
        <f>K24*$C$2+M24+((O24*$C$2+Q24)*R24)</f>
        <v>8100</v>
      </c>
      <c r="U24" s="69">
        <f t="shared" si="0"/>
        <v>160</v>
      </c>
      <c r="V24" s="69">
        <f t="shared" si="0"/>
        <v>400</v>
      </c>
      <c r="W24" s="76" t="s">
        <v>528</v>
      </c>
      <c r="X24" s="104" t="s">
        <v>472</v>
      </c>
    </row>
    <row r="25" spans="1:24" s="61" customFormat="1" ht="42">
      <c r="A25" s="493"/>
      <c r="B25" s="494"/>
      <c r="C25" s="494"/>
      <c r="D25" s="494"/>
      <c r="E25" s="494"/>
      <c r="F25" s="494"/>
      <c r="G25" s="494"/>
      <c r="H25" s="494"/>
      <c r="I25" s="494"/>
      <c r="J25" s="494"/>
      <c r="K25" s="494"/>
      <c r="L25" s="494"/>
      <c r="M25" s="494"/>
      <c r="N25" s="494"/>
      <c r="O25" s="494"/>
      <c r="P25" s="494"/>
      <c r="Q25" s="495"/>
      <c r="R25" s="77" t="s">
        <v>297</v>
      </c>
      <c r="S25" s="78">
        <f>S22*8</f>
        <v>4800</v>
      </c>
      <c r="T25" s="78">
        <f>T24*8</f>
        <v>64800</v>
      </c>
      <c r="U25" s="77">
        <f>N22*8</f>
        <v>48</v>
      </c>
      <c r="V25" s="77">
        <f>O24*8</f>
        <v>640</v>
      </c>
      <c r="W25" s="402" t="s">
        <v>524</v>
      </c>
      <c r="X25" s="116" t="s">
        <v>472</v>
      </c>
    </row>
    <row r="26" spans="1:24" ht="27.75" customHeight="1">
      <c r="A26" s="105">
        <v>2.2</v>
      </c>
      <c r="B26" s="69" t="s">
        <v>2</v>
      </c>
      <c r="C26" s="69"/>
      <c r="D26" s="75" t="s">
        <v>62</v>
      </c>
      <c r="E26" s="69"/>
      <c r="F26" s="485" t="s">
        <v>370</v>
      </c>
      <c r="G26" s="485"/>
      <c r="H26" s="432" t="s">
        <v>591</v>
      </c>
      <c r="I26" s="69"/>
      <c r="J26" s="69"/>
      <c r="K26" s="69"/>
      <c r="L26" s="69"/>
      <c r="M26" s="69"/>
      <c r="N26" s="69">
        <v>6</v>
      </c>
      <c r="O26" s="69">
        <v>8</v>
      </c>
      <c r="P26" s="69"/>
      <c r="Q26" s="69"/>
      <c r="R26" s="75">
        <v>5</v>
      </c>
      <c r="S26" s="72">
        <f>J26*$C$2+L26+((N26*$C$2+P26)*R26)</f>
        <v>3000</v>
      </c>
      <c r="T26" s="72">
        <f>K26*$C$2+M26+((O26*$C$2+Q26)*R26)</f>
        <v>4000</v>
      </c>
      <c r="U26" s="69">
        <f>N26*5</f>
        <v>30</v>
      </c>
      <c r="V26" s="69">
        <f>O26*5</f>
        <v>40</v>
      </c>
      <c r="W26" s="80" t="s">
        <v>373</v>
      </c>
      <c r="X26" s="104" t="s">
        <v>472</v>
      </c>
    </row>
    <row r="27" spans="1:24" ht="13.5" customHeight="1">
      <c r="A27" s="464">
        <v>2.3</v>
      </c>
      <c r="B27" s="460" t="s">
        <v>2</v>
      </c>
      <c r="C27" s="460"/>
      <c r="D27" s="465" t="s">
        <v>62</v>
      </c>
      <c r="E27" s="460" t="s">
        <v>70</v>
      </c>
      <c r="F27" s="471" t="s">
        <v>185</v>
      </c>
      <c r="G27" s="471"/>
      <c r="H27" s="460" t="s">
        <v>592</v>
      </c>
      <c r="I27" s="460"/>
      <c r="J27" s="460"/>
      <c r="K27" s="460"/>
      <c r="L27" s="460"/>
      <c r="M27" s="460"/>
      <c r="N27" s="460"/>
      <c r="O27" s="460"/>
      <c r="P27" s="460"/>
      <c r="Q27" s="460"/>
      <c r="R27" s="460"/>
      <c r="S27" s="459"/>
      <c r="T27" s="459"/>
      <c r="U27" s="460"/>
      <c r="V27" s="101"/>
      <c r="W27" s="462" t="s">
        <v>465</v>
      </c>
      <c r="X27" s="463" t="s">
        <v>375</v>
      </c>
    </row>
    <row r="28" spans="1:24" s="45" customFormat="1" ht="13.5">
      <c r="A28" s="464"/>
      <c r="B28" s="460"/>
      <c r="C28" s="460"/>
      <c r="D28" s="465"/>
      <c r="E28" s="460"/>
      <c r="F28" s="471"/>
      <c r="G28" s="471"/>
      <c r="H28" s="460"/>
      <c r="I28" s="460"/>
      <c r="J28" s="460"/>
      <c r="K28" s="460"/>
      <c r="L28" s="460"/>
      <c r="M28" s="460"/>
      <c r="N28" s="460"/>
      <c r="O28" s="460"/>
      <c r="P28" s="460"/>
      <c r="Q28" s="460"/>
      <c r="R28" s="460"/>
      <c r="S28" s="459"/>
      <c r="T28" s="459"/>
      <c r="U28" s="460"/>
      <c r="V28" s="103"/>
      <c r="W28" s="462"/>
      <c r="X28" s="463"/>
    </row>
    <row r="29" spans="1:24" s="45" customFormat="1" ht="13.5">
      <c r="A29" s="464"/>
      <c r="B29" s="460"/>
      <c r="C29" s="460"/>
      <c r="D29" s="465"/>
      <c r="E29" s="460"/>
      <c r="F29" s="471"/>
      <c r="G29" s="471"/>
      <c r="H29" s="460"/>
      <c r="I29" s="460"/>
      <c r="J29" s="460"/>
      <c r="K29" s="460"/>
      <c r="L29" s="460"/>
      <c r="M29" s="460"/>
      <c r="N29" s="460"/>
      <c r="O29" s="460"/>
      <c r="P29" s="460"/>
      <c r="Q29" s="460"/>
      <c r="R29" s="460"/>
      <c r="S29" s="459"/>
      <c r="T29" s="459"/>
      <c r="U29" s="460"/>
      <c r="V29" s="102"/>
      <c r="W29" s="462"/>
      <c r="X29" s="463"/>
    </row>
    <row r="30" spans="1:24" s="45" customFormat="1" ht="27.75">
      <c r="A30" s="107"/>
      <c r="B30" s="108"/>
      <c r="C30" s="108"/>
      <c r="D30" s="109"/>
      <c r="E30" s="108"/>
      <c r="F30" s="108"/>
      <c r="G30" s="108"/>
      <c r="H30" s="108"/>
      <c r="I30" s="110"/>
      <c r="J30" s="110"/>
      <c r="K30" s="110"/>
      <c r="L30" s="111"/>
      <c r="M30" s="111"/>
      <c r="N30" s="110"/>
      <c r="O30" s="110"/>
      <c r="P30" s="111"/>
      <c r="Q30" s="111"/>
      <c r="R30" s="112" t="s">
        <v>330</v>
      </c>
      <c r="S30" s="113">
        <f>ROUND((S20+S25+S26+S27),3-(INT(LOG((S20+S25+S26+S27))+1)))</f>
        <v>9400</v>
      </c>
      <c r="T30" s="113">
        <f>ROUND((T20+T25+T26+T27),3-(INT(LOG((T20+T25+T26+T27))+1)))</f>
        <v>70800</v>
      </c>
      <c r="U30" s="444">
        <f>ROUND((U20+U25+U26+U27),3-(INT(LOG((U20+U25+U26+U27))+1)))</f>
        <v>94</v>
      </c>
      <c r="V30" s="444">
        <f>ROUND((V20+V25+V26+V27),3-(INT(LOG((V20+V25+V26+V27))+1)))</f>
        <v>700</v>
      </c>
      <c r="W30" s="108"/>
      <c r="X30" s="114" t="s">
        <v>374</v>
      </c>
    </row>
    <row r="31" spans="4:20" ht="13.5">
      <c r="D31" s="9"/>
      <c r="Q31" s="25"/>
      <c r="R31" s="26"/>
      <c r="S31" s="26"/>
      <c r="T31" s="26"/>
    </row>
    <row r="32" ht="13.5">
      <c r="D32" s="10"/>
    </row>
    <row r="33" ht="13.5">
      <c r="D33" s="3"/>
    </row>
    <row r="34" ht="13.5">
      <c r="D34" s="11"/>
    </row>
    <row r="35" ht="13.5">
      <c r="D35" s="11"/>
    </row>
    <row r="36" ht="13.5">
      <c r="D36" s="11"/>
    </row>
    <row r="37" ht="9" customHeight="1">
      <c r="D37" s="11"/>
    </row>
    <row r="38" ht="13.5">
      <c r="D38" s="11"/>
    </row>
    <row r="39" ht="13.5">
      <c r="D39" s="3"/>
    </row>
    <row r="40" ht="13.5">
      <c r="D40" s="3"/>
    </row>
    <row r="41" ht="13.5">
      <c r="D41" s="3"/>
    </row>
    <row r="42" ht="13.5">
      <c r="D42" s="3"/>
    </row>
    <row r="43" ht="13.5">
      <c r="D43" s="8"/>
    </row>
    <row r="44" ht="13.5">
      <c r="D44" s="8"/>
    </row>
    <row r="45" ht="13.5">
      <c r="D45" s="3"/>
    </row>
    <row r="46" ht="13.5">
      <c r="D46" s="3"/>
    </row>
    <row r="47" ht="13.5">
      <c r="D47" s="3"/>
    </row>
    <row r="48" ht="13.5">
      <c r="D48" s="3"/>
    </row>
    <row r="49" ht="13.5">
      <c r="D49" s="3"/>
    </row>
    <row r="50" ht="13.5">
      <c r="D50" s="3"/>
    </row>
    <row r="51" ht="13.5">
      <c r="D51" s="3"/>
    </row>
    <row r="52" ht="13.5">
      <c r="D52" s="2"/>
    </row>
  </sheetData>
  <sheetProtection/>
  <mergeCells count="59">
    <mergeCell ref="A21:A24"/>
    <mergeCell ref="W16:W18"/>
    <mergeCell ref="X16:X18"/>
    <mergeCell ref="A25:Q25"/>
    <mergeCell ref="A16:A18"/>
    <mergeCell ref="B16:B18"/>
    <mergeCell ref="C16:C18"/>
    <mergeCell ref="D16:D18"/>
    <mergeCell ref="E16:E18"/>
    <mergeCell ref="F16:G18"/>
    <mergeCell ref="R27:R29"/>
    <mergeCell ref="A1:C1"/>
    <mergeCell ref="C27:C29"/>
    <mergeCell ref="F19:G19"/>
    <mergeCell ref="F21:G24"/>
    <mergeCell ref="F26:G26"/>
    <mergeCell ref="F27:G29"/>
    <mergeCell ref="A4:B4"/>
    <mergeCell ref="A3:B3"/>
    <mergeCell ref="A2:B2"/>
    <mergeCell ref="S17:T17"/>
    <mergeCell ref="H16:H18"/>
    <mergeCell ref="I16:I18"/>
    <mergeCell ref="S16:V16"/>
    <mergeCell ref="N16:R16"/>
    <mergeCell ref="N17:O17"/>
    <mergeCell ref="P17:Q17"/>
    <mergeCell ref="R17:R18"/>
    <mergeCell ref="U17:V17"/>
    <mergeCell ref="D21:D24"/>
    <mergeCell ref="L27:L29"/>
    <mergeCell ref="M27:M29"/>
    <mergeCell ref="H21:H24"/>
    <mergeCell ref="U27:U29"/>
    <mergeCell ref="E27:E29"/>
    <mergeCell ref="H27:H29"/>
    <mergeCell ref="I27:I29"/>
    <mergeCell ref="J27:J29"/>
    <mergeCell ref="A27:A29"/>
    <mergeCell ref="B27:B29"/>
    <mergeCell ref="D27:D29"/>
    <mergeCell ref="B6:C6"/>
    <mergeCell ref="D6:E6"/>
    <mergeCell ref="J16:M16"/>
    <mergeCell ref="J17:K17"/>
    <mergeCell ref="L17:M17"/>
    <mergeCell ref="B21:B24"/>
    <mergeCell ref="C21:C24"/>
    <mergeCell ref="S27:S29"/>
    <mergeCell ref="K27:K29"/>
    <mergeCell ref="F20:G20"/>
    <mergeCell ref="T27:T29"/>
    <mergeCell ref="W27:W29"/>
    <mergeCell ref="X27:X29"/>
    <mergeCell ref="N27:N29"/>
    <mergeCell ref="O27:O29"/>
    <mergeCell ref="P27:P29"/>
    <mergeCell ref="Q27:Q2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V38"/>
  <sheetViews>
    <sheetView zoomScale="85" zoomScaleNormal="85" workbookViewId="0" topLeftCell="A1">
      <selection activeCell="G15" sqref="G15:G19"/>
    </sheetView>
  </sheetViews>
  <sheetFormatPr defaultColWidth="8.8515625" defaultRowHeight="15"/>
  <cols>
    <col min="1" max="1" width="10.8515625" style="0" bestFit="1" customWidth="1"/>
    <col min="2" max="3" width="10.28125" style="0" customWidth="1"/>
    <col min="4" max="4" width="12.28125" style="0" customWidth="1"/>
    <col min="5" max="5" width="5.7109375" style="1" customWidth="1"/>
    <col min="6" max="6" width="75.28125" style="0" customWidth="1"/>
    <col min="7" max="7" width="11.28125" style="0" customWidth="1"/>
    <col min="8" max="8" width="8.8515625" style="0" customWidth="1"/>
    <col min="9" max="9" width="13.421875" style="0" customWidth="1"/>
    <col min="10" max="17" width="8.8515625" style="0" customWidth="1"/>
    <col min="18" max="18" width="10.00390625" style="0" bestFit="1" customWidth="1"/>
    <col min="19" max="20" width="8.8515625" style="0" customWidth="1"/>
    <col min="21" max="21" width="28.28125" style="0" bestFit="1" customWidth="1"/>
    <col min="22" max="22" width="41.7109375" style="0" customWidth="1"/>
    <col min="23" max="23" width="8.8515625" style="0" customWidth="1"/>
    <col min="24" max="24" width="50.8515625" style="0" customWidth="1"/>
    <col min="25" max="25" width="22.28125" style="0" bestFit="1" customWidth="1"/>
  </cols>
  <sheetData>
    <row r="1" spans="1:10" ht="21.75" customHeight="1">
      <c r="A1" s="483" t="s">
        <v>480</v>
      </c>
      <c r="B1" s="466"/>
      <c r="C1" s="467"/>
      <c r="D1" s="45"/>
      <c r="E1" s="45"/>
      <c r="I1" s="21"/>
      <c r="J1" s="21"/>
    </row>
    <row r="2" spans="1:10" ht="21.75" customHeight="1">
      <c r="A2" s="486" t="s">
        <v>344</v>
      </c>
      <c r="B2" s="487"/>
      <c r="C2" s="117">
        <f>'MS4 Stats'!B10</f>
        <v>100</v>
      </c>
      <c r="D2" s="45"/>
      <c r="E2" s="45"/>
      <c r="I2" s="24"/>
      <c r="J2" s="24"/>
    </row>
    <row r="3" spans="4:10" ht="21.75" customHeight="1">
      <c r="D3" s="3"/>
      <c r="E3"/>
      <c r="I3" s="24"/>
      <c r="J3" s="24"/>
    </row>
    <row r="4" spans="1:10" ht="21.75" customHeight="1">
      <c r="A4" s="483"/>
      <c r="B4" s="466" t="s">
        <v>482</v>
      </c>
      <c r="C4" s="466"/>
      <c r="D4" s="466" t="s">
        <v>256</v>
      </c>
      <c r="E4" s="467"/>
      <c r="I4" s="42"/>
      <c r="J4" s="42"/>
    </row>
    <row r="5" spans="1:5" ht="21.75" customHeight="1">
      <c r="A5" s="512"/>
      <c r="B5" s="99" t="s">
        <v>301</v>
      </c>
      <c r="C5" s="99" t="s">
        <v>302</v>
      </c>
      <c r="D5" s="99" t="s">
        <v>301</v>
      </c>
      <c r="E5" s="100" t="s">
        <v>302</v>
      </c>
    </row>
    <row r="6" spans="1:5" ht="21.75" customHeight="1">
      <c r="A6" s="81" t="s">
        <v>62</v>
      </c>
      <c r="B6" s="82">
        <f>ROUND((((L15+L16)*C2)+(N15+N16)),3-(INT(LOG((((L15+L16)*C2)+(N15+N16)))+1)))</f>
        <v>1800</v>
      </c>
      <c r="C6" s="82">
        <f>ROUND((((M15+M16)*C2)+(O15+O16)),3-(INT(LOG((((M15+M16)*C2)+(O15+O16)))+1)))</f>
        <v>3400</v>
      </c>
      <c r="D6" s="84">
        <f>ROUND((L15+L16+L17),3-(INT(LOG((L15+L16+L17))+1)))</f>
        <v>16</v>
      </c>
      <c r="E6" s="84">
        <f>ROUND((M15+M16+M17),3-(INT(LOG((M15+M16+M17))+1)))</f>
        <v>30</v>
      </c>
    </row>
    <row r="7" spans="1:5" ht="21.75" customHeight="1">
      <c r="A7" s="86" t="s">
        <v>483</v>
      </c>
      <c r="B7" s="87">
        <v>0</v>
      </c>
      <c r="C7" s="87">
        <f>(I15+I16+I17)*C2+(K15+K16+K17)</f>
        <v>0</v>
      </c>
      <c r="D7" s="88">
        <f>H15+H16+H17</f>
        <v>0</v>
      </c>
      <c r="E7" s="89">
        <f>I15+I16+I17</f>
        <v>0</v>
      </c>
    </row>
    <row r="8" spans="1:5" ht="21.75" customHeight="1">
      <c r="A8" s="90" t="s">
        <v>61</v>
      </c>
      <c r="B8" s="91">
        <v>0</v>
      </c>
      <c r="C8" s="91">
        <v>0</v>
      </c>
      <c r="D8" s="92">
        <v>0</v>
      </c>
      <c r="E8" s="93">
        <v>0</v>
      </c>
    </row>
    <row r="9" spans="1:5" ht="21.75" customHeight="1">
      <c r="A9" s="94" t="s">
        <v>481</v>
      </c>
      <c r="B9" s="95">
        <f>Q20</f>
        <v>9000</v>
      </c>
      <c r="C9" s="95">
        <f>R20</f>
        <v>17000</v>
      </c>
      <c r="D9" s="96">
        <f>S20</f>
        <v>80</v>
      </c>
      <c r="E9" s="97">
        <f>T20</f>
        <v>150</v>
      </c>
    </row>
    <row r="10" spans="4:5" ht="21.75" customHeight="1">
      <c r="D10" s="3"/>
      <c r="E10"/>
    </row>
    <row r="11" spans="4:5" ht="13.5">
      <c r="D11" s="3"/>
      <c r="E11"/>
    </row>
    <row r="12" spans="1:22" ht="45" customHeight="1">
      <c r="A12" s="513" t="s">
        <v>0</v>
      </c>
      <c r="B12" s="516" t="s">
        <v>28</v>
      </c>
      <c r="C12" s="519" t="s">
        <v>31</v>
      </c>
      <c r="D12" s="519" t="s">
        <v>109</v>
      </c>
      <c r="E12" s="519" t="s">
        <v>69</v>
      </c>
      <c r="F12" s="522" t="s">
        <v>376</v>
      </c>
      <c r="G12" s="522" t="s">
        <v>1</v>
      </c>
      <c r="H12" s="534" t="s">
        <v>497</v>
      </c>
      <c r="I12" s="534"/>
      <c r="J12" s="534"/>
      <c r="K12" s="534"/>
      <c r="L12" s="534" t="s">
        <v>498</v>
      </c>
      <c r="M12" s="534"/>
      <c r="N12" s="534"/>
      <c r="O12" s="534"/>
      <c r="P12" s="534"/>
      <c r="Q12" s="525" t="s">
        <v>499</v>
      </c>
      <c r="R12" s="526"/>
      <c r="S12" s="526"/>
      <c r="T12" s="527"/>
      <c r="U12" s="522" t="s">
        <v>57</v>
      </c>
      <c r="V12" s="531" t="s">
        <v>258</v>
      </c>
    </row>
    <row r="13" spans="1:22" ht="43.5" customHeight="1">
      <c r="A13" s="514"/>
      <c r="B13" s="517"/>
      <c r="C13" s="520"/>
      <c r="D13" s="520"/>
      <c r="E13" s="520"/>
      <c r="F13" s="523"/>
      <c r="G13" s="523"/>
      <c r="H13" s="535" t="s">
        <v>256</v>
      </c>
      <c r="I13" s="535"/>
      <c r="J13" s="528" t="s">
        <v>501</v>
      </c>
      <c r="K13" s="528"/>
      <c r="L13" s="529" t="s">
        <v>319</v>
      </c>
      <c r="M13" s="529"/>
      <c r="N13" s="528" t="s">
        <v>500</v>
      </c>
      <c r="O13" s="528"/>
      <c r="P13" s="529" t="s">
        <v>261</v>
      </c>
      <c r="Q13" s="530" t="s">
        <v>325</v>
      </c>
      <c r="R13" s="530"/>
      <c r="S13" s="530" t="s">
        <v>475</v>
      </c>
      <c r="T13" s="530"/>
      <c r="U13" s="523"/>
      <c r="V13" s="532"/>
    </row>
    <row r="14" spans="1:22" ht="13.5">
      <c r="A14" s="515"/>
      <c r="B14" s="518"/>
      <c r="C14" s="521"/>
      <c r="D14" s="521"/>
      <c r="E14" s="521"/>
      <c r="F14" s="524"/>
      <c r="G14" s="524"/>
      <c r="H14" s="194" t="s">
        <v>301</v>
      </c>
      <c r="I14" s="194" t="s">
        <v>302</v>
      </c>
      <c r="J14" s="261" t="s">
        <v>301</v>
      </c>
      <c r="K14" s="261" t="s">
        <v>302</v>
      </c>
      <c r="L14" s="260" t="s">
        <v>301</v>
      </c>
      <c r="M14" s="260" t="s">
        <v>302</v>
      </c>
      <c r="N14" s="261" t="s">
        <v>301</v>
      </c>
      <c r="O14" s="261" t="s">
        <v>302</v>
      </c>
      <c r="P14" s="529"/>
      <c r="Q14" s="194" t="s">
        <v>301</v>
      </c>
      <c r="R14" s="194" t="s">
        <v>302</v>
      </c>
      <c r="S14" s="194" t="s">
        <v>301</v>
      </c>
      <c r="T14" s="194" t="s">
        <v>302</v>
      </c>
      <c r="U14" s="524"/>
      <c r="V14" s="533"/>
    </row>
    <row r="15" spans="1:22" ht="97.5">
      <c r="A15" s="127">
        <v>1</v>
      </c>
      <c r="B15" s="118" t="s">
        <v>2</v>
      </c>
      <c r="C15" s="119"/>
      <c r="D15" s="120" t="s">
        <v>361</v>
      </c>
      <c r="E15" s="121"/>
      <c r="F15" s="120" t="s">
        <v>377</v>
      </c>
      <c r="G15" s="58" t="s">
        <v>593</v>
      </c>
      <c r="H15" s="118"/>
      <c r="I15" s="118"/>
      <c r="J15" s="118"/>
      <c r="K15" s="118"/>
      <c r="L15" s="118">
        <v>8</v>
      </c>
      <c r="M15" s="118">
        <v>16</v>
      </c>
      <c r="N15" s="118"/>
      <c r="O15" s="118"/>
      <c r="P15" s="118">
        <v>5</v>
      </c>
      <c r="Q15" s="122">
        <f aca="true" t="shared" si="0" ref="Q15:R17">((H15*$C$2)+J15)+(((L15*$C$2)+N15)*$P$15)</f>
        <v>4000</v>
      </c>
      <c r="R15" s="122">
        <f t="shared" si="0"/>
        <v>8000</v>
      </c>
      <c r="S15" s="123">
        <f aca="true" t="shared" si="1" ref="S15:T17">L15*$P$15</f>
        <v>40</v>
      </c>
      <c r="T15" s="123">
        <f t="shared" si="1"/>
        <v>80</v>
      </c>
      <c r="U15" s="119" t="s">
        <v>513</v>
      </c>
      <c r="V15" s="128" t="s">
        <v>472</v>
      </c>
    </row>
    <row r="16" spans="1:22" ht="42">
      <c r="A16" s="127">
        <f>A15+1</f>
        <v>2</v>
      </c>
      <c r="B16" s="118" t="s">
        <v>2</v>
      </c>
      <c r="C16" s="118"/>
      <c r="D16" s="124" t="s">
        <v>361</v>
      </c>
      <c r="E16" s="121"/>
      <c r="F16" s="120" t="s">
        <v>378</v>
      </c>
      <c r="G16" s="58" t="s">
        <v>594</v>
      </c>
      <c r="H16" s="118"/>
      <c r="I16" s="118"/>
      <c r="J16" s="118"/>
      <c r="K16" s="118"/>
      <c r="L16" s="118">
        <v>8</v>
      </c>
      <c r="M16" s="118">
        <v>14</v>
      </c>
      <c r="N16" s="125">
        <v>200</v>
      </c>
      <c r="O16" s="125">
        <v>400</v>
      </c>
      <c r="P16" s="118">
        <v>5</v>
      </c>
      <c r="Q16" s="122">
        <f t="shared" si="0"/>
        <v>5000</v>
      </c>
      <c r="R16" s="122">
        <f t="shared" si="0"/>
        <v>9000</v>
      </c>
      <c r="S16" s="123">
        <f t="shared" si="1"/>
        <v>40</v>
      </c>
      <c r="T16" s="123">
        <f t="shared" si="1"/>
        <v>70</v>
      </c>
      <c r="U16" s="119" t="s">
        <v>380</v>
      </c>
      <c r="V16" s="128" t="s">
        <v>472</v>
      </c>
    </row>
    <row r="17" spans="1:22" ht="27.75">
      <c r="A17" s="127">
        <f>A16+1</f>
        <v>3</v>
      </c>
      <c r="B17" s="118" t="s">
        <v>2</v>
      </c>
      <c r="C17" s="118"/>
      <c r="D17" s="124" t="s">
        <v>361</v>
      </c>
      <c r="E17" s="121" t="s">
        <v>70</v>
      </c>
      <c r="F17" s="126" t="s">
        <v>379</v>
      </c>
      <c r="G17" s="58" t="s">
        <v>595</v>
      </c>
      <c r="H17" s="118"/>
      <c r="I17" s="118"/>
      <c r="J17" s="118"/>
      <c r="K17" s="118"/>
      <c r="L17" s="118"/>
      <c r="M17" s="118"/>
      <c r="N17" s="118"/>
      <c r="O17" s="118"/>
      <c r="P17" s="118">
        <v>5</v>
      </c>
      <c r="Q17" s="122">
        <f t="shared" si="0"/>
        <v>0</v>
      </c>
      <c r="R17" s="122">
        <f t="shared" si="0"/>
        <v>0</v>
      </c>
      <c r="S17" s="123">
        <f t="shared" si="1"/>
        <v>0</v>
      </c>
      <c r="T17" s="123">
        <f t="shared" si="1"/>
        <v>0</v>
      </c>
      <c r="U17" s="118" t="s">
        <v>464</v>
      </c>
      <c r="V17" s="128"/>
    </row>
    <row r="18" spans="1:22" ht="27.75">
      <c r="A18" s="370">
        <v>4</v>
      </c>
      <c r="B18" s="309" t="s">
        <v>2</v>
      </c>
      <c r="C18" s="371"/>
      <c r="D18" s="376" t="s">
        <v>361</v>
      </c>
      <c r="E18" s="372"/>
      <c r="F18" s="377" t="s">
        <v>507</v>
      </c>
      <c r="G18" s="58" t="s">
        <v>120</v>
      </c>
      <c r="H18" s="371"/>
      <c r="I18" s="371"/>
      <c r="J18" s="371"/>
      <c r="K18" s="371"/>
      <c r="L18" s="371"/>
      <c r="M18" s="371"/>
      <c r="N18" s="371"/>
      <c r="O18" s="371"/>
      <c r="P18" s="371"/>
      <c r="Q18" s="373"/>
      <c r="R18" s="373"/>
      <c r="S18" s="374"/>
      <c r="T18" s="374"/>
      <c r="U18" s="371" t="s">
        <v>508</v>
      </c>
      <c r="V18" s="375"/>
    </row>
    <row r="19" spans="1:22" ht="27.75">
      <c r="A19" s="370">
        <v>5</v>
      </c>
      <c r="B19" s="309" t="s">
        <v>2</v>
      </c>
      <c r="C19" s="371"/>
      <c r="D19" s="376" t="s">
        <v>361</v>
      </c>
      <c r="E19" s="372"/>
      <c r="F19" s="377" t="s">
        <v>509</v>
      </c>
      <c r="G19" s="58" t="s">
        <v>122</v>
      </c>
      <c r="H19" s="371"/>
      <c r="I19" s="371"/>
      <c r="J19" s="371"/>
      <c r="K19" s="371"/>
      <c r="L19" s="371"/>
      <c r="M19" s="371"/>
      <c r="N19" s="371"/>
      <c r="O19" s="371"/>
      <c r="P19" s="371"/>
      <c r="Q19" s="373"/>
      <c r="R19" s="373"/>
      <c r="S19" s="374"/>
      <c r="T19" s="374"/>
      <c r="U19" s="378" t="s">
        <v>514</v>
      </c>
      <c r="V19" s="375"/>
    </row>
    <row r="20" spans="1:22" ht="36" customHeight="1">
      <c r="A20" s="129"/>
      <c r="B20" s="130"/>
      <c r="C20" s="130"/>
      <c r="D20" s="131"/>
      <c r="E20" s="130"/>
      <c r="F20" s="130"/>
      <c r="G20" s="130"/>
      <c r="H20" s="130"/>
      <c r="I20" s="130"/>
      <c r="J20" s="130"/>
      <c r="K20" s="130"/>
      <c r="L20" s="130"/>
      <c r="M20" s="130"/>
      <c r="N20" s="130"/>
      <c r="O20" s="132"/>
      <c r="P20" s="133" t="s">
        <v>330</v>
      </c>
      <c r="Q20" s="134">
        <f>ROUND((SUM(Q15:Q17)),3-(INT(LOG((SUM(Q15:Q17)))+1)))</f>
        <v>9000</v>
      </c>
      <c r="R20" s="134">
        <f>ROUND((SUM(R15:R17)),3-(INT(LOG((SUM(R15:R17)))+1)))</f>
        <v>17000</v>
      </c>
      <c r="S20" s="445">
        <f>ROUND((SUM(S15:S17)),3-(INT(LOG((SUM(S15:S17)))+1)))</f>
        <v>80</v>
      </c>
      <c r="T20" s="445">
        <f>ROUND((SUM(T15:T17)),3-(INT(LOG((SUM(T15:T17)))+1)))</f>
        <v>150</v>
      </c>
      <c r="U20" s="130"/>
      <c r="V20" s="135" t="s">
        <v>381</v>
      </c>
    </row>
    <row r="21" spans="4:5" ht="13.5">
      <c r="D21" s="3"/>
      <c r="E21"/>
    </row>
    <row r="22" spans="4:5" ht="13.5">
      <c r="D22" s="11"/>
      <c r="E22"/>
    </row>
    <row r="23" spans="4:5" ht="13.5">
      <c r="D23" s="11"/>
      <c r="E23"/>
    </row>
    <row r="24" spans="4:5" ht="13.5">
      <c r="D24" s="11"/>
      <c r="E24"/>
    </row>
    <row r="25" spans="4:5" ht="13.5">
      <c r="D25" s="3"/>
      <c r="E25"/>
    </row>
    <row r="26" spans="4:5" ht="13.5">
      <c r="D26" s="3"/>
      <c r="E26"/>
    </row>
    <row r="27" spans="4:5" ht="13.5">
      <c r="D27" s="3"/>
      <c r="E27"/>
    </row>
    <row r="28" spans="4:5" ht="13.5">
      <c r="D28" s="3"/>
      <c r="E28"/>
    </row>
    <row r="29" spans="4:5" ht="13.5">
      <c r="D29" s="8"/>
      <c r="E29"/>
    </row>
    <row r="30" spans="4:5" ht="13.5">
      <c r="D30" s="8"/>
      <c r="E30"/>
    </row>
    <row r="31" spans="4:5" ht="13.5">
      <c r="D31" s="3"/>
      <c r="E31"/>
    </row>
    <row r="32" spans="4:5" ht="13.5">
      <c r="D32" s="3"/>
      <c r="E32"/>
    </row>
    <row r="33" spans="4:5" ht="13.5">
      <c r="D33" s="3"/>
      <c r="E33"/>
    </row>
    <row r="34" spans="4:5" ht="13.5">
      <c r="D34" s="3"/>
      <c r="E34"/>
    </row>
    <row r="35" spans="4:5" ht="13.5">
      <c r="D35" s="3"/>
      <c r="E35"/>
    </row>
    <row r="36" spans="4:5" ht="13.5">
      <c r="D36" s="3"/>
      <c r="E36"/>
    </row>
    <row r="37" spans="4:5" ht="13.5">
      <c r="D37" s="3"/>
      <c r="E37"/>
    </row>
    <row r="38" spans="4:5" ht="13.5">
      <c r="D38" s="2"/>
      <c r="E38"/>
    </row>
  </sheetData>
  <sheetProtection/>
  <mergeCells count="24">
    <mergeCell ref="U12:U14"/>
    <mergeCell ref="V12:V14"/>
    <mergeCell ref="H12:K12"/>
    <mergeCell ref="L12:P12"/>
    <mergeCell ref="Q13:R13"/>
    <mergeCell ref="H13:I13"/>
    <mergeCell ref="J13:K13"/>
    <mergeCell ref="L13:M13"/>
    <mergeCell ref="F12:F14"/>
    <mergeCell ref="G12:G14"/>
    <mergeCell ref="Q12:T12"/>
    <mergeCell ref="N13:O13"/>
    <mergeCell ref="P13:P14"/>
    <mergeCell ref="S13:T13"/>
    <mergeCell ref="A1:C1"/>
    <mergeCell ref="A2:B2"/>
    <mergeCell ref="A4:A5"/>
    <mergeCell ref="B4:C4"/>
    <mergeCell ref="D4:E4"/>
    <mergeCell ref="A12:A14"/>
    <mergeCell ref="B12:B14"/>
    <mergeCell ref="C12:C14"/>
    <mergeCell ref="D12:D14"/>
    <mergeCell ref="E12:E1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J65"/>
  <sheetViews>
    <sheetView zoomScale="85" zoomScaleNormal="85" workbookViewId="0" topLeftCell="G1">
      <selection activeCell="A11" sqref="A11"/>
    </sheetView>
  </sheetViews>
  <sheetFormatPr defaultColWidth="8.8515625" defaultRowHeight="15"/>
  <cols>
    <col min="1" max="1" width="10.421875" style="0" bestFit="1" customWidth="1"/>
    <col min="2" max="2" width="19.28125" style="0" customWidth="1"/>
    <col min="3" max="3" width="10.421875" style="1" customWidth="1"/>
    <col min="4" max="4" width="12.28125" style="0" customWidth="1"/>
    <col min="5" max="6" width="5.7109375" style="1" customWidth="1"/>
    <col min="7" max="7" width="116.8515625" style="1" bestFit="1" customWidth="1"/>
    <col min="8" max="8" width="23.7109375" style="0" bestFit="1" customWidth="1"/>
    <col min="9" max="9" width="13.140625" style="1" customWidth="1"/>
    <col min="10" max="17" width="8.8515625" style="0" customWidth="1"/>
    <col min="18" max="18" width="10.8515625" style="0" customWidth="1"/>
    <col min="19" max="19" width="10.00390625" style="0" bestFit="1" customWidth="1"/>
    <col min="20" max="20" width="8.8515625" style="0" customWidth="1"/>
    <col min="21" max="21" width="10.00390625" style="0" bestFit="1" customWidth="1"/>
    <col min="22" max="22" width="82.00390625" style="0" customWidth="1"/>
    <col min="23" max="23" width="39.421875" style="0" bestFit="1" customWidth="1"/>
  </cols>
  <sheetData>
    <row r="1" spans="1:9" ht="21.75" customHeight="1">
      <c r="A1" s="483" t="s">
        <v>480</v>
      </c>
      <c r="B1" s="466"/>
      <c r="C1" s="466"/>
      <c r="D1" s="467"/>
      <c r="E1" s="45"/>
      <c r="F1"/>
      <c r="G1"/>
      <c r="H1" s="1"/>
      <c r="I1" s="21"/>
    </row>
    <row r="2" spans="1:8" ht="21.75" customHeight="1">
      <c r="A2" s="536" t="s">
        <v>515</v>
      </c>
      <c r="B2" s="537"/>
      <c r="C2" s="51">
        <f>'MS4 Stats'!B16</f>
        <v>50</v>
      </c>
      <c r="D2" s="139"/>
      <c r="E2" s="45"/>
      <c r="F2"/>
      <c r="G2"/>
      <c r="H2" s="1"/>
    </row>
    <row r="3" spans="1:8" ht="21.75" customHeight="1">
      <c r="A3" s="536" t="s">
        <v>476</v>
      </c>
      <c r="B3" s="537"/>
      <c r="C3" s="51">
        <f>'MS4 Stats'!B24</f>
        <v>20</v>
      </c>
      <c r="D3" s="140"/>
      <c r="E3" s="45"/>
      <c r="F3"/>
      <c r="G3"/>
      <c r="H3" s="1"/>
    </row>
    <row r="4" spans="1:8" ht="21.75" customHeight="1">
      <c r="A4" s="536" t="s">
        <v>488</v>
      </c>
      <c r="B4" s="537"/>
      <c r="C4" s="51">
        <f>'MS4 Stats'!B8</f>
        <v>25</v>
      </c>
      <c r="D4" s="140"/>
      <c r="E4" s="45"/>
      <c r="F4"/>
      <c r="G4"/>
      <c r="H4" s="1"/>
    </row>
    <row r="5" spans="1:8" ht="21.75" customHeight="1">
      <c r="A5" s="536" t="s">
        <v>478</v>
      </c>
      <c r="B5" s="537"/>
      <c r="C5" s="51">
        <f>'MS4 Stats'!B26</f>
        <v>5</v>
      </c>
      <c r="D5" s="140"/>
      <c r="E5" s="45"/>
      <c r="F5"/>
      <c r="G5"/>
      <c r="H5" s="1"/>
    </row>
    <row r="6" spans="1:8" ht="21.75" customHeight="1">
      <c r="A6" s="536" t="s">
        <v>510</v>
      </c>
      <c r="B6" s="537"/>
      <c r="C6" s="51">
        <f>'MS4 Stats'!B25</f>
        <v>5</v>
      </c>
      <c r="D6" s="140"/>
      <c r="E6" s="45"/>
      <c r="F6"/>
      <c r="G6"/>
      <c r="H6" s="1"/>
    </row>
    <row r="7" spans="1:4" ht="21.75" customHeight="1">
      <c r="A7" s="536" t="s">
        <v>479</v>
      </c>
      <c r="B7" s="537"/>
      <c r="C7" s="51">
        <v>2</v>
      </c>
      <c r="D7" s="139">
        <v>3</v>
      </c>
    </row>
    <row r="8" spans="1:4" ht="21.75" customHeight="1">
      <c r="A8" s="547" t="s">
        <v>344</v>
      </c>
      <c r="B8" s="548"/>
      <c r="C8" s="141">
        <f>'MS4 Stats'!B10</f>
        <v>100</v>
      </c>
      <c r="D8" s="142"/>
    </row>
    <row r="9" spans="3:9" ht="13.5">
      <c r="C9"/>
      <c r="E9"/>
      <c r="F9"/>
      <c r="G9"/>
      <c r="I9" s="24"/>
    </row>
    <row r="10" spans="3:8" ht="21.75" customHeight="1">
      <c r="C10"/>
      <c r="D10" s="3"/>
      <c r="E10"/>
      <c r="F10"/>
      <c r="G10"/>
      <c r="H10" s="1"/>
    </row>
    <row r="11" spans="1:5" ht="21.75" customHeight="1">
      <c r="A11" s="68"/>
      <c r="B11" s="466" t="s">
        <v>482</v>
      </c>
      <c r="C11" s="466"/>
      <c r="D11" s="466" t="s">
        <v>256</v>
      </c>
      <c r="E11" s="467"/>
    </row>
    <row r="12" spans="1:5" ht="21.75" customHeight="1">
      <c r="A12" s="98"/>
      <c r="B12" s="99" t="s">
        <v>301</v>
      </c>
      <c r="C12" s="99" t="s">
        <v>302</v>
      </c>
      <c r="D12" s="99" t="s">
        <v>301</v>
      </c>
      <c r="E12" s="100" t="s">
        <v>302</v>
      </c>
    </row>
    <row r="13" spans="1:5" ht="21.75" customHeight="1">
      <c r="A13" s="81" t="s">
        <v>62</v>
      </c>
      <c r="B13" s="82">
        <f>ROUND((((M28+M36+M40+M41+M42+M43+M32+M37+M46+M49+M50+M51+M54+M55+M56+M58+M59)*$C$8)+O32+O40+O54),3-(INT(LOG((((M28+M36+M40+M41+M42+M43+M32+M37+M46+M49+M50+M51+M54+M55+M56+M58+M59)*$C$8)+O32+O40+O54))+1)))</f>
        <v>11800</v>
      </c>
      <c r="C13" s="82">
        <f>ROUND((((N28+N36+N40+N41+N42+N43+N32+N37+N46+N49+N50+N51+N54+N55+N56+N58+N59)*$C$8)+P32+P40+P54),3-(INT(LOG((((N28+N36+N40+N41+N42+N43+N32+N37+N46+N49+N50+N51+N54+N55+N56+N58+N59)*$C$8)+P32+P40+P54))+1)))</f>
        <v>24300</v>
      </c>
      <c r="D13" s="84">
        <f>ROUND((M28+M36+M40+M41+M42+M43+M46+M49+M50+M51+M54+M55+M56+M58+M59),3-(INT(LOG((M28+M36+M40+M41+M42+M43+M46+M49+M50+M51+M54+M55+M56+M58+M59))+1)))</f>
        <v>63</v>
      </c>
      <c r="E13" s="84">
        <f>ROUND((N28+N36+N40+N41+N42+N43+N46+N49+N50+N51+N54+N55+N56+N58+N59),3-(INT(LOG((N28+N36+N40+N41+N42+N43+N46+N49+N50+N51+N54+N55+N56+N58+N59))+1)))</f>
        <v>128</v>
      </c>
    </row>
    <row r="14" spans="1:5" ht="21.75" customHeight="1">
      <c r="A14" s="86" t="s">
        <v>483</v>
      </c>
      <c r="B14" s="87">
        <f>ROUND((((I26+I27+I31+I35+I39+I45+I48)*C8)+K53),3-(INT(LOG((((I26+I27+I31+I35+I39+I45+I48)*C8)+K53))+1)))</f>
        <v>19600</v>
      </c>
      <c r="C14" s="87">
        <f>ROUND((((J26+J27+J31+J35+J39+J45+J48)*C8)+L53),3-(INT(LOG((((J26+J27+J31+J35+J39+J45+J48)*C8)+L53))+1)))</f>
        <v>29000</v>
      </c>
      <c r="D14" s="88">
        <f>ROUND((I26+I27+I31+I35+I39+I42+I45+I48),3-(INT(LOG((I26+I27+I31+I35+I39+I42+I45+I48))+1)))</f>
        <v>96</v>
      </c>
      <c r="E14" s="88">
        <f>ROUND((J26+J27+J31+J35+J39+J42+J45+J48),3-(INT(LOG((J26+J27+J31+J35+J39+J42+J45+J48))+1)))</f>
        <v>160</v>
      </c>
    </row>
    <row r="15" spans="1:5" ht="21.75" customHeight="1">
      <c r="A15" s="90" t="s">
        <v>61</v>
      </c>
      <c r="B15" s="91">
        <f>((M33+M34+M57)*$C$8)*Q33</f>
        <v>0</v>
      </c>
      <c r="C15" s="91">
        <f>ROUND((((N33+N34+N57)*$C$8)*$Q$33),3-(INT(LOG((((N33+N34+N57)*$C$8)*$Q$33))+1)))</f>
        <v>6500</v>
      </c>
      <c r="D15" s="92">
        <f>(M33+M34)*$Q$33</f>
        <v>0</v>
      </c>
      <c r="E15" s="93">
        <f>ROUND(((N33+N34)*$Q$33),3-(INT(LOG(((N33+N34)*$Q$33))+1)))</f>
        <v>65</v>
      </c>
    </row>
    <row r="16" spans="1:5" ht="21.75" customHeight="1">
      <c r="A16" s="178" t="s">
        <v>485</v>
      </c>
      <c r="B16" s="179">
        <f>R61</f>
        <v>78600</v>
      </c>
      <c r="C16" s="179">
        <f>S61</f>
        <v>153000</v>
      </c>
      <c r="D16" s="180">
        <f>T61</f>
        <v>411</v>
      </c>
      <c r="E16" s="181">
        <f>U61</f>
        <v>800</v>
      </c>
    </row>
    <row r="17" spans="1:5" ht="21.75" customHeight="1">
      <c r="A17" s="182" t="s">
        <v>486</v>
      </c>
      <c r="B17" s="183"/>
      <c r="C17" s="184"/>
      <c r="D17" s="183"/>
      <c r="E17" s="185"/>
    </row>
    <row r="21" spans="3:9" ht="13.5">
      <c r="C21"/>
      <c r="E21"/>
      <c r="F21"/>
      <c r="G21"/>
      <c r="I21" s="24"/>
    </row>
    <row r="22" spans="1:24" s="58" customFormat="1" ht="73.5" customHeight="1">
      <c r="A22" s="554" t="s">
        <v>0</v>
      </c>
      <c r="B22" s="557" t="s">
        <v>28</v>
      </c>
      <c r="C22" s="560" t="s">
        <v>31</v>
      </c>
      <c r="D22" s="560" t="s">
        <v>109</v>
      </c>
      <c r="E22" s="560" t="s">
        <v>69</v>
      </c>
      <c r="F22" s="563" t="s">
        <v>382</v>
      </c>
      <c r="G22" s="563"/>
      <c r="H22" s="549" t="s">
        <v>1</v>
      </c>
      <c r="I22" s="469" t="s">
        <v>497</v>
      </c>
      <c r="J22" s="469"/>
      <c r="K22" s="469"/>
      <c r="L22" s="469"/>
      <c r="M22" s="469" t="s">
        <v>498</v>
      </c>
      <c r="N22" s="469"/>
      <c r="O22" s="469"/>
      <c r="P22" s="469"/>
      <c r="Q22" s="469"/>
      <c r="R22" s="550" t="s">
        <v>499</v>
      </c>
      <c r="S22" s="551"/>
      <c r="T22" s="551"/>
      <c r="U22" s="552"/>
      <c r="V22" s="553" t="s">
        <v>57</v>
      </c>
      <c r="W22" s="553" t="s">
        <v>258</v>
      </c>
      <c r="X22" s="138"/>
    </row>
    <row r="23" spans="1:24" s="58" customFormat="1" ht="30" customHeight="1">
      <c r="A23" s="555"/>
      <c r="B23" s="558"/>
      <c r="C23" s="561"/>
      <c r="D23" s="561"/>
      <c r="E23" s="561"/>
      <c r="F23" s="564"/>
      <c r="G23" s="564"/>
      <c r="H23" s="508"/>
      <c r="I23" s="469" t="s">
        <v>256</v>
      </c>
      <c r="J23" s="469"/>
      <c r="K23" s="470" t="s">
        <v>501</v>
      </c>
      <c r="L23" s="470"/>
      <c r="M23" s="482" t="s">
        <v>319</v>
      </c>
      <c r="N23" s="482"/>
      <c r="O23" s="470" t="s">
        <v>501</v>
      </c>
      <c r="P23" s="470"/>
      <c r="Q23" s="482" t="s">
        <v>261</v>
      </c>
      <c r="R23" s="472" t="s">
        <v>325</v>
      </c>
      <c r="S23" s="472"/>
      <c r="T23" s="472" t="s">
        <v>475</v>
      </c>
      <c r="U23" s="472"/>
      <c r="V23" s="474"/>
      <c r="W23" s="474"/>
      <c r="X23" s="138"/>
    </row>
    <row r="24" spans="1:24" s="58" customFormat="1" ht="21.75" customHeight="1">
      <c r="A24" s="556"/>
      <c r="B24" s="559"/>
      <c r="C24" s="562"/>
      <c r="D24" s="562"/>
      <c r="E24" s="562"/>
      <c r="F24" s="565"/>
      <c r="G24" s="565"/>
      <c r="H24" s="510"/>
      <c r="I24" s="136" t="s">
        <v>301</v>
      </c>
      <c r="J24" s="136" t="s">
        <v>302</v>
      </c>
      <c r="K24" s="115" t="s">
        <v>301</v>
      </c>
      <c r="L24" s="115" t="s">
        <v>302</v>
      </c>
      <c r="M24" s="137" t="s">
        <v>301</v>
      </c>
      <c r="N24" s="137" t="s">
        <v>302</v>
      </c>
      <c r="O24" s="115" t="s">
        <v>301</v>
      </c>
      <c r="P24" s="115" t="s">
        <v>302</v>
      </c>
      <c r="Q24" s="482"/>
      <c r="R24" s="136" t="s">
        <v>301</v>
      </c>
      <c r="S24" s="136" t="s">
        <v>302</v>
      </c>
      <c r="T24" s="136" t="s">
        <v>301</v>
      </c>
      <c r="U24" s="136" t="s">
        <v>302</v>
      </c>
      <c r="V24" s="475"/>
      <c r="W24" s="475"/>
      <c r="X24" s="138"/>
    </row>
    <row r="25" spans="1:36" s="16" customFormat="1" ht="36" customHeight="1">
      <c r="A25" s="145">
        <v>1</v>
      </c>
      <c r="B25" s="145"/>
      <c r="C25" s="146"/>
      <c r="D25" s="146"/>
      <c r="E25" s="146"/>
      <c r="F25" s="145" t="s">
        <v>383</v>
      </c>
      <c r="G25" s="145"/>
      <c r="H25" s="538"/>
      <c r="I25" s="538"/>
      <c r="J25" s="538"/>
      <c r="K25" s="538"/>
      <c r="L25" s="538"/>
      <c r="M25" s="538"/>
      <c r="N25" s="538"/>
      <c r="O25" s="538"/>
      <c r="P25" s="538"/>
      <c r="Q25" s="538"/>
      <c r="R25" s="538"/>
      <c r="S25" s="538"/>
      <c r="T25" s="538"/>
      <c r="U25" s="538"/>
      <c r="V25" s="538"/>
      <c r="W25" s="538"/>
      <c r="X25" s="144"/>
      <c r="Y25" s="144"/>
      <c r="Z25" s="144"/>
      <c r="AA25" s="144"/>
      <c r="AB25" s="144"/>
      <c r="AC25" s="144"/>
      <c r="AD25" s="144"/>
      <c r="AE25" s="144"/>
      <c r="AF25" s="144"/>
      <c r="AG25" s="144"/>
      <c r="AH25" s="144"/>
      <c r="AI25" s="144"/>
      <c r="AJ25" s="144"/>
    </row>
    <row r="26" spans="1:23" s="16" customFormat="1" ht="36" customHeight="1">
      <c r="A26" s="147">
        <v>1.1</v>
      </c>
      <c r="B26" s="147" t="s">
        <v>2</v>
      </c>
      <c r="C26" s="147" t="s">
        <v>58</v>
      </c>
      <c r="D26" s="148" t="s">
        <v>60</v>
      </c>
      <c r="E26" s="147"/>
      <c r="F26" s="545" t="s">
        <v>384</v>
      </c>
      <c r="G26" s="545"/>
      <c r="H26" s="58" t="s">
        <v>596</v>
      </c>
      <c r="I26" s="149">
        <v>12</v>
      </c>
      <c r="J26" s="149">
        <v>12</v>
      </c>
      <c r="K26" s="150"/>
      <c r="L26" s="150"/>
      <c r="M26" s="151"/>
      <c r="N26" s="151"/>
      <c r="O26" s="150"/>
      <c r="P26" s="150"/>
      <c r="Q26" s="151">
        <v>5</v>
      </c>
      <c r="R26" s="79">
        <f>((I26*$C$8+K26)+((M26*$C$8+O26))*Q26)</f>
        <v>1200</v>
      </c>
      <c r="S26" s="79">
        <f>J26*$C$8+L26+((N26*$C$8+P26)*Q26)</f>
        <v>1200</v>
      </c>
      <c r="T26" s="152">
        <f>I26+(M26*5)</f>
        <v>12</v>
      </c>
      <c r="U26" s="152">
        <f aca="true" t="shared" si="0" ref="T26:U28">J26+(N26*5)</f>
        <v>12</v>
      </c>
      <c r="V26" s="76" t="s">
        <v>437</v>
      </c>
      <c r="W26" s="73" t="s">
        <v>472</v>
      </c>
    </row>
    <row r="27" spans="1:23" s="46" customFormat="1" ht="36" customHeight="1">
      <c r="A27" s="147">
        <v>1.2</v>
      </c>
      <c r="B27" s="147" t="s">
        <v>2</v>
      </c>
      <c r="C27" s="147" t="s">
        <v>58</v>
      </c>
      <c r="D27" s="148" t="s">
        <v>60</v>
      </c>
      <c r="E27" s="147"/>
      <c r="F27" s="545" t="s">
        <v>385</v>
      </c>
      <c r="G27" s="545"/>
      <c r="H27" s="58" t="s">
        <v>596</v>
      </c>
      <c r="I27" s="73">
        <v>24</v>
      </c>
      <c r="J27" s="73">
        <v>24</v>
      </c>
      <c r="K27" s="73"/>
      <c r="L27" s="73"/>
      <c r="M27" s="73"/>
      <c r="N27" s="73"/>
      <c r="O27" s="73"/>
      <c r="P27" s="73"/>
      <c r="Q27" s="73">
        <v>5</v>
      </c>
      <c r="R27" s="79">
        <f>((I27*$C$8+K27)+((M27*$C$8+O27))*Q27)</f>
        <v>2400</v>
      </c>
      <c r="S27" s="79">
        <f>J27*$C$8+L27+((N27*$C$8+P27)*Q27)</f>
        <v>2400</v>
      </c>
      <c r="T27" s="152">
        <f t="shared" si="0"/>
        <v>24</v>
      </c>
      <c r="U27" s="152">
        <f t="shared" si="0"/>
        <v>24</v>
      </c>
      <c r="V27" s="76" t="s">
        <v>386</v>
      </c>
      <c r="W27" s="76" t="s">
        <v>438</v>
      </c>
    </row>
    <row r="28" spans="1:23" s="45" customFormat="1" ht="36" customHeight="1">
      <c r="A28" s="147">
        <v>1.3</v>
      </c>
      <c r="B28" s="147"/>
      <c r="C28" s="147"/>
      <c r="D28" s="153" t="s">
        <v>62</v>
      </c>
      <c r="E28" s="147"/>
      <c r="F28" s="471" t="s">
        <v>387</v>
      </c>
      <c r="G28" s="471"/>
      <c r="H28" s="58" t="s">
        <v>596</v>
      </c>
      <c r="I28" s="73"/>
      <c r="J28" s="73"/>
      <c r="K28" s="73"/>
      <c r="L28" s="73"/>
      <c r="M28" s="73">
        <v>8</v>
      </c>
      <c r="N28" s="73">
        <v>8</v>
      </c>
      <c r="O28" s="73"/>
      <c r="P28" s="73"/>
      <c r="Q28" s="73">
        <v>5</v>
      </c>
      <c r="R28" s="79">
        <f>((I28*$C$8+K28)+((M28*$C$8+O28))*Q28)</f>
        <v>4000</v>
      </c>
      <c r="S28" s="79">
        <f>J28*$C$8+L28+((N28*$C$8+P28)*Q28)</f>
        <v>4000</v>
      </c>
      <c r="T28" s="152">
        <f t="shared" si="0"/>
        <v>40</v>
      </c>
      <c r="U28" s="152">
        <f t="shared" si="0"/>
        <v>40</v>
      </c>
      <c r="V28" s="76"/>
      <c r="W28" s="73" t="s">
        <v>472</v>
      </c>
    </row>
    <row r="29" spans="1:23" s="45" customFormat="1" ht="36" customHeight="1">
      <c r="A29" s="154">
        <v>2</v>
      </c>
      <c r="B29" s="154"/>
      <c r="C29" s="154"/>
      <c r="D29" s="154"/>
      <c r="E29" s="154"/>
      <c r="F29" s="154" t="s">
        <v>388</v>
      </c>
      <c r="G29" s="154"/>
      <c r="H29" s="540"/>
      <c r="I29" s="540"/>
      <c r="J29" s="540"/>
      <c r="K29" s="540"/>
      <c r="L29" s="540"/>
      <c r="M29" s="540"/>
      <c r="N29" s="540"/>
      <c r="O29" s="540"/>
      <c r="P29" s="540"/>
      <c r="Q29" s="540"/>
      <c r="R29" s="540"/>
      <c r="S29" s="540"/>
      <c r="T29" s="540"/>
      <c r="U29" s="540"/>
      <c r="V29" s="540"/>
      <c r="W29" s="540"/>
    </row>
    <row r="30" spans="1:23" s="45" customFormat="1" ht="36" customHeight="1">
      <c r="A30" s="155">
        <v>2.1</v>
      </c>
      <c r="B30" s="155"/>
      <c r="C30" s="155"/>
      <c r="D30" s="155"/>
      <c r="E30" s="155"/>
      <c r="F30" s="543" t="s">
        <v>389</v>
      </c>
      <c r="G30" s="543"/>
      <c r="H30" s="539"/>
      <c r="I30" s="539"/>
      <c r="J30" s="539"/>
      <c r="K30" s="539"/>
      <c r="L30" s="539"/>
      <c r="M30" s="539"/>
      <c r="N30" s="539"/>
      <c r="O30" s="539"/>
      <c r="P30" s="539"/>
      <c r="Q30" s="539"/>
      <c r="R30" s="539"/>
      <c r="S30" s="539"/>
      <c r="T30" s="539"/>
      <c r="U30" s="539"/>
      <c r="V30" s="539"/>
      <c r="W30" s="539"/>
    </row>
    <row r="31" spans="1:23" s="47" customFormat="1" ht="36" customHeight="1">
      <c r="A31" s="147" t="s">
        <v>175</v>
      </c>
      <c r="B31" s="147" t="s">
        <v>144</v>
      </c>
      <c r="C31" s="73" t="s">
        <v>58</v>
      </c>
      <c r="D31" s="156" t="s">
        <v>390</v>
      </c>
      <c r="E31" s="73"/>
      <c r="F31" s="545" t="s">
        <v>391</v>
      </c>
      <c r="G31" s="545"/>
      <c r="H31" s="58" t="s">
        <v>597</v>
      </c>
      <c r="I31" s="73">
        <v>16</v>
      </c>
      <c r="J31" s="73">
        <v>24</v>
      </c>
      <c r="K31" s="74"/>
      <c r="L31" s="74"/>
      <c r="M31" s="73"/>
      <c r="N31" s="73"/>
      <c r="O31" s="73"/>
      <c r="P31" s="73"/>
      <c r="Q31" s="73">
        <v>5</v>
      </c>
      <c r="R31" s="79">
        <f aca="true" t="shared" si="1" ref="R31:R37">((I31*$C$8+K31)+((M31*$C$8+O31))*Q31)</f>
        <v>1600</v>
      </c>
      <c r="S31" s="79">
        <f aca="true" t="shared" si="2" ref="S31:S36">J31*$C$8+L31+((N31*$C$8+P31)*Q31)</f>
        <v>2400</v>
      </c>
      <c r="T31" s="152">
        <f>I31+(M31*5)</f>
        <v>16</v>
      </c>
      <c r="U31" s="152">
        <f>J31+(N31*5)</f>
        <v>24</v>
      </c>
      <c r="V31" s="76" t="s">
        <v>439</v>
      </c>
      <c r="W31" s="73" t="s">
        <v>472</v>
      </c>
    </row>
    <row r="32" spans="1:23" s="45" customFormat="1" ht="36" customHeight="1">
      <c r="A32" s="147" t="s">
        <v>176</v>
      </c>
      <c r="B32" s="147" t="s">
        <v>143</v>
      </c>
      <c r="C32" s="73"/>
      <c r="D32" s="157" t="s">
        <v>62</v>
      </c>
      <c r="E32" s="73"/>
      <c r="F32" s="465" t="s">
        <v>392</v>
      </c>
      <c r="G32" s="465"/>
      <c r="H32" s="58" t="s">
        <v>598</v>
      </c>
      <c r="I32" s="73"/>
      <c r="J32" s="73"/>
      <c r="K32" s="73"/>
      <c r="L32" s="73"/>
      <c r="M32" s="73"/>
      <c r="N32" s="73"/>
      <c r="O32" s="74">
        <f>$C$2*50</f>
        <v>2500</v>
      </c>
      <c r="P32" s="74">
        <f>$C$2*100</f>
        <v>5000</v>
      </c>
      <c r="Q32" s="73">
        <v>5</v>
      </c>
      <c r="R32" s="79">
        <f t="shared" si="1"/>
        <v>12500</v>
      </c>
      <c r="S32" s="79">
        <f t="shared" si="2"/>
        <v>25000</v>
      </c>
      <c r="T32" s="152">
        <f aca="true" t="shared" si="3" ref="T32:T37">I32+(M32*5)</f>
        <v>0</v>
      </c>
      <c r="U32" s="152">
        <f aca="true" t="shared" si="4" ref="U32:U37">J32+(N32*5)</f>
        <v>0</v>
      </c>
      <c r="V32" s="76" t="s">
        <v>440</v>
      </c>
      <c r="W32" s="76" t="s">
        <v>393</v>
      </c>
    </row>
    <row r="33" spans="1:23" s="45" customFormat="1" ht="36" customHeight="1">
      <c r="A33" s="147" t="s">
        <v>394</v>
      </c>
      <c r="B33" s="147" t="s">
        <v>143</v>
      </c>
      <c r="C33" s="73"/>
      <c r="D33" s="158" t="s">
        <v>61</v>
      </c>
      <c r="E33" s="73"/>
      <c r="F33" s="542" t="s">
        <v>395</v>
      </c>
      <c r="G33" s="542"/>
      <c r="H33" s="58" t="s">
        <v>598</v>
      </c>
      <c r="I33" s="73"/>
      <c r="J33" s="73"/>
      <c r="K33" s="73"/>
      <c r="L33" s="73"/>
      <c r="M33" s="73">
        <v>0</v>
      </c>
      <c r="N33" s="73">
        <f>C4*0.2</f>
        <v>5</v>
      </c>
      <c r="O33" s="73"/>
      <c r="P33" s="73"/>
      <c r="Q33" s="73">
        <v>5</v>
      </c>
      <c r="R33" s="159">
        <f t="shared" si="1"/>
        <v>0</v>
      </c>
      <c r="S33" s="159">
        <f t="shared" si="2"/>
        <v>2500</v>
      </c>
      <c r="T33" s="160">
        <f t="shared" si="3"/>
        <v>0</v>
      </c>
      <c r="U33" s="160">
        <f t="shared" si="4"/>
        <v>25</v>
      </c>
      <c r="V33" s="421" t="s">
        <v>580</v>
      </c>
      <c r="W33" s="73" t="s">
        <v>472</v>
      </c>
    </row>
    <row r="34" spans="1:23" s="45" customFormat="1" ht="36" customHeight="1">
      <c r="A34" s="147" t="s">
        <v>396</v>
      </c>
      <c r="B34" s="147" t="s">
        <v>2</v>
      </c>
      <c r="C34" s="73"/>
      <c r="D34" s="158" t="s">
        <v>61</v>
      </c>
      <c r="E34" s="73"/>
      <c r="F34" s="546" t="s">
        <v>397</v>
      </c>
      <c r="G34" s="546"/>
      <c r="H34" s="58" t="s">
        <v>598</v>
      </c>
      <c r="I34" s="73"/>
      <c r="J34" s="73"/>
      <c r="K34" s="73"/>
      <c r="L34" s="73"/>
      <c r="M34" s="73">
        <v>0</v>
      </c>
      <c r="N34" s="73">
        <v>8</v>
      </c>
      <c r="O34" s="73"/>
      <c r="P34" s="73"/>
      <c r="Q34" s="73">
        <v>5</v>
      </c>
      <c r="R34" s="159">
        <f t="shared" si="1"/>
        <v>0</v>
      </c>
      <c r="S34" s="159">
        <f t="shared" si="2"/>
        <v>4000</v>
      </c>
      <c r="T34" s="160">
        <f t="shared" si="3"/>
        <v>0</v>
      </c>
      <c r="U34" s="160">
        <f t="shared" si="4"/>
        <v>40</v>
      </c>
      <c r="V34" s="76" t="s">
        <v>441</v>
      </c>
      <c r="W34" s="462" t="s">
        <v>472</v>
      </c>
    </row>
    <row r="35" spans="1:23" s="45" customFormat="1" ht="36" customHeight="1">
      <c r="A35" s="147" t="s">
        <v>398</v>
      </c>
      <c r="B35" s="147" t="s">
        <v>86</v>
      </c>
      <c r="C35" s="73" t="s">
        <v>58</v>
      </c>
      <c r="D35" s="161" t="s">
        <v>60</v>
      </c>
      <c r="E35" s="73" t="s">
        <v>70</v>
      </c>
      <c r="F35" s="541" t="s">
        <v>399</v>
      </c>
      <c r="G35" s="541"/>
      <c r="H35" s="58" t="s">
        <v>598</v>
      </c>
      <c r="I35" s="73">
        <v>8</v>
      </c>
      <c r="J35" s="73">
        <v>16</v>
      </c>
      <c r="K35" s="73"/>
      <c r="L35" s="73"/>
      <c r="M35" s="73"/>
      <c r="N35" s="73"/>
      <c r="O35" s="73"/>
      <c r="P35" s="73"/>
      <c r="Q35" s="73">
        <v>5</v>
      </c>
      <c r="R35" s="79">
        <f t="shared" si="1"/>
        <v>800</v>
      </c>
      <c r="S35" s="79">
        <f t="shared" si="2"/>
        <v>1600</v>
      </c>
      <c r="T35" s="152">
        <f t="shared" si="3"/>
        <v>8</v>
      </c>
      <c r="U35" s="152">
        <f t="shared" si="4"/>
        <v>16</v>
      </c>
      <c r="V35" s="76" t="s">
        <v>442</v>
      </c>
      <c r="W35" s="462"/>
    </row>
    <row r="36" spans="1:23" s="45" customFormat="1" ht="36" customHeight="1">
      <c r="A36" s="147" t="s">
        <v>400</v>
      </c>
      <c r="B36" s="147" t="s">
        <v>143</v>
      </c>
      <c r="C36" s="73"/>
      <c r="D36" s="162" t="s">
        <v>62</v>
      </c>
      <c r="E36" s="73"/>
      <c r="F36" s="465" t="s">
        <v>401</v>
      </c>
      <c r="G36" s="465"/>
      <c r="H36" s="58" t="s">
        <v>598</v>
      </c>
      <c r="I36" s="73"/>
      <c r="J36" s="73"/>
      <c r="K36" s="73"/>
      <c r="L36" s="73"/>
      <c r="M36" s="73">
        <v>8</v>
      </c>
      <c r="N36" s="73">
        <v>16</v>
      </c>
      <c r="O36" s="73"/>
      <c r="P36" s="73"/>
      <c r="Q36" s="73">
        <v>5</v>
      </c>
      <c r="R36" s="79">
        <f t="shared" si="1"/>
        <v>4000</v>
      </c>
      <c r="S36" s="79">
        <f t="shared" si="2"/>
        <v>8000</v>
      </c>
      <c r="T36" s="152">
        <f t="shared" si="3"/>
        <v>40</v>
      </c>
      <c r="U36" s="152">
        <f t="shared" si="4"/>
        <v>80</v>
      </c>
      <c r="V36" s="76"/>
      <c r="W36" s="462"/>
    </row>
    <row r="37" spans="1:23" s="45" customFormat="1" ht="36" customHeight="1">
      <c r="A37" s="147" t="s">
        <v>402</v>
      </c>
      <c r="B37" s="147" t="s">
        <v>2</v>
      </c>
      <c r="C37" s="73"/>
      <c r="D37" s="163" t="s">
        <v>62</v>
      </c>
      <c r="E37" s="73" t="s">
        <v>70</v>
      </c>
      <c r="F37" s="471" t="s">
        <v>172</v>
      </c>
      <c r="G37" s="471"/>
      <c r="H37" s="58" t="s">
        <v>598</v>
      </c>
      <c r="I37" s="164"/>
      <c r="J37" s="164"/>
      <c r="K37" s="79"/>
      <c r="L37" s="79"/>
      <c r="M37" s="164"/>
      <c r="N37" s="164"/>
      <c r="O37" s="79"/>
      <c r="P37" s="79"/>
      <c r="Q37" s="149">
        <v>5</v>
      </c>
      <c r="R37" s="165">
        <f t="shared" si="1"/>
        <v>0</v>
      </c>
      <c r="S37" s="165">
        <f>((J37*$C$8+L37)+((N37*$C$8+P37))*Q37)</f>
        <v>0</v>
      </c>
      <c r="T37" s="152">
        <f t="shared" si="3"/>
        <v>0</v>
      </c>
      <c r="U37" s="152">
        <f t="shared" si="4"/>
        <v>0</v>
      </c>
      <c r="V37" s="76" t="s">
        <v>466</v>
      </c>
      <c r="W37" s="73"/>
    </row>
    <row r="38" spans="1:23" s="45" customFormat="1" ht="36" customHeight="1">
      <c r="A38" s="155">
        <v>2.2</v>
      </c>
      <c r="B38" s="155"/>
      <c r="C38" s="155"/>
      <c r="D38" s="155"/>
      <c r="E38" s="155"/>
      <c r="F38" s="543" t="s">
        <v>173</v>
      </c>
      <c r="G38" s="543"/>
      <c r="H38" s="539"/>
      <c r="I38" s="539"/>
      <c r="J38" s="539"/>
      <c r="K38" s="539"/>
      <c r="L38" s="539"/>
      <c r="M38" s="539"/>
      <c r="N38" s="539"/>
      <c r="O38" s="539"/>
      <c r="P38" s="539"/>
      <c r="Q38" s="539"/>
      <c r="R38" s="539"/>
      <c r="S38" s="539"/>
      <c r="T38" s="539"/>
      <c r="U38" s="539"/>
      <c r="V38" s="539"/>
      <c r="W38" s="539"/>
    </row>
    <row r="39" spans="1:23" s="45" customFormat="1" ht="36" customHeight="1">
      <c r="A39" s="147" t="s">
        <v>403</v>
      </c>
      <c r="B39" s="147" t="s">
        <v>144</v>
      </c>
      <c r="C39" s="73" t="s">
        <v>58</v>
      </c>
      <c r="D39" s="166" t="s">
        <v>60</v>
      </c>
      <c r="E39" s="73"/>
      <c r="F39" s="545" t="s">
        <v>404</v>
      </c>
      <c r="G39" s="545"/>
      <c r="H39" s="58" t="s">
        <v>599</v>
      </c>
      <c r="I39" s="164">
        <v>16</v>
      </c>
      <c r="J39" s="164">
        <v>24</v>
      </c>
      <c r="K39" s="79"/>
      <c r="L39" s="79"/>
      <c r="M39" s="164"/>
      <c r="N39" s="164"/>
      <c r="O39" s="79"/>
      <c r="P39" s="79"/>
      <c r="Q39" s="149">
        <v>5</v>
      </c>
      <c r="R39" s="165">
        <f>((I39*$C$8+K39)+((M39*$C$8+O39))*Q39)</f>
        <v>1600</v>
      </c>
      <c r="S39" s="165">
        <f>((J39*$C$8+L39)+((N39*$C$8+P39))*Q39)</f>
        <v>2400</v>
      </c>
      <c r="T39" s="152">
        <f aca="true" t="shared" si="5" ref="T39:U43">I39+(M39*5)</f>
        <v>16</v>
      </c>
      <c r="U39" s="152">
        <f t="shared" si="5"/>
        <v>24</v>
      </c>
      <c r="V39" s="76" t="s">
        <v>439</v>
      </c>
      <c r="W39" s="167" t="s">
        <v>472</v>
      </c>
    </row>
    <row r="40" spans="1:23" s="45" customFormat="1" ht="36" customHeight="1">
      <c r="A40" s="147" t="s">
        <v>405</v>
      </c>
      <c r="B40" s="147" t="s">
        <v>143</v>
      </c>
      <c r="C40" s="73"/>
      <c r="D40" s="163" t="s">
        <v>62</v>
      </c>
      <c r="E40" s="73"/>
      <c r="F40" s="465" t="s">
        <v>406</v>
      </c>
      <c r="G40" s="465"/>
      <c r="H40" s="58" t="s">
        <v>599</v>
      </c>
      <c r="I40" s="164"/>
      <c r="J40" s="164"/>
      <c r="K40" s="79"/>
      <c r="L40" s="79"/>
      <c r="M40" s="164"/>
      <c r="N40" s="164"/>
      <c r="O40" s="79">
        <f>C3*50</f>
        <v>1000</v>
      </c>
      <c r="P40" s="79">
        <f>C3*100</f>
        <v>2000</v>
      </c>
      <c r="Q40" s="149">
        <v>5</v>
      </c>
      <c r="R40" s="165">
        <f>((I40*$C$8+K40)+((M40*$C$8+O40))*Q40)</f>
        <v>5000</v>
      </c>
      <c r="S40" s="165">
        <f>((J40*$C$8+L40)+((N40*$C$8+P40))*Q40)</f>
        <v>10000</v>
      </c>
      <c r="T40" s="152">
        <f t="shared" si="5"/>
        <v>0</v>
      </c>
      <c r="U40" s="152">
        <f t="shared" si="5"/>
        <v>0</v>
      </c>
      <c r="V40" s="80" t="s">
        <v>443</v>
      </c>
      <c r="W40" s="73" t="s">
        <v>393</v>
      </c>
    </row>
    <row r="41" spans="1:23" s="45" customFormat="1" ht="36" customHeight="1">
      <c r="A41" s="147" t="s">
        <v>407</v>
      </c>
      <c r="B41" s="147" t="s">
        <v>2</v>
      </c>
      <c r="C41" s="73"/>
      <c r="D41" s="157" t="s">
        <v>62</v>
      </c>
      <c r="E41" s="73" t="s">
        <v>70</v>
      </c>
      <c r="F41" s="465" t="s">
        <v>408</v>
      </c>
      <c r="G41" s="465"/>
      <c r="H41" s="58" t="s">
        <v>599</v>
      </c>
      <c r="I41" s="164"/>
      <c r="J41" s="164"/>
      <c r="K41" s="79"/>
      <c r="L41" s="79"/>
      <c r="M41" s="164"/>
      <c r="N41" s="164"/>
      <c r="O41" s="79"/>
      <c r="P41" s="79"/>
      <c r="Q41" s="149">
        <v>5</v>
      </c>
      <c r="R41" s="165">
        <f>((I41*$C$8+K41)+((M41*$C$8+O41))*Q41)</f>
        <v>0</v>
      </c>
      <c r="S41" s="165">
        <f>((J41*$C$8+L41)+((N41*$C$8+P41))*Q41)</f>
        <v>0</v>
      </c>
      <c r="T41" s="152">
        <f t="shared" si="5"/>
        <v>0</v>
      </c>
      <c r="U41" s="152">
        <f t="shared" si="5"/>
        <v>0</v>
      </c>
      <c r="V41" s="73" t="s">
        <v>467</v>
      </c>
      <c r="W41" s="73"/>
    </row>
    <row r="42" spans="1:23" s="45" customFormat="1" ht="36" customHeight="1">
      <c r="A42" s="147" t="s">
        <v>409</v>
      </c>
      <c r="B42" s="147" t="s">
        <v>143</v>
      </c>
      <c r="C42" s="73"/>
      <c r="D42" s="163" t="s">
        <v>62</v>
      </c>
      <c r="E42" s="73" t="s">
        <v>70</v>
      </c>
      <c r="F42" s="471" t="s">
        <v>410</v>
      </c>
      <c r="G42" s="471"/>
      <c r="H42" s="58" t="s">
        <v>599</v>
      </c>
      <c r="I42" s="164">
        <v>0</v>
      </c>
      <c r="J42" s="164">
        <v>20</v>
      </c>
      <c r="K42" s="79"/>
      <c r="L42" s="79"/>
      <c r="M42" s="164">
        <v>0</v>
      </c>
      <c r="N42" s="164">
        <v>10</v>
      </c>
      <c r="O42" s="79"/>
      <c r="P42" s="79"/>
      <c r="Q42" s="149">
        <v>5</v>
      </c>
      <c r="R42" s="165">
        <f>((I42*$C$8+K42)+((M42*$C$8+O42))*Q42)</f>
        <v>0</v>
      </c>
      <c r="S42" s="165">
        <f>((J42*$C$8+L42)+((N42*$C$8+P42))*Q42)</f>
        <v>7000</v>
      </c>
      <c r="T42" s="152">
        <f t="shared" si="5"/>
        <v>0</v>
      </c>
      <c r="U42" s="152">
        <f t="shared" si="5"/>
        <v>70</v>
      </c>
      <c r="V42" s="80" t="s">
        <v>516</v>
      </c>
      <c r="W42" s="167" t="s">
        <v>472</v>
      </c>
    </row>
    <row r="43" spans="1:23" s="45" customFormat="1" ht="36" customHeight="1">
      <c r="A43" s="147" t="s">
        <v>411</v>
      </c>
      <c r="B43" s="147" t="s">
        <v>143</v>
      </c>
      <c r="C43" s="73"/>
      <c r="D43" s="168" t="s">
        <v>59</v>
      </c>
      <c r="E43" s="73"/>
      <c r="F43" s="471" t="s">
        <v>412</v>
      </c>
      <c r="G43" s="471"/>
      <c r="H43" s="58" t="s">
        <v>600</v>
      </c>
      <c r="I43" s="164"/>
      <c r="J43" s="164"/>
      <c r="K43" s="79"/>
      <c r="L43" s="79"/>
      <c r="M43" s="164"/>
      <c r="N43" s="164"/>
      <c r="O43" s="79"/>
      <c r="P43" s="79"/>
      <c r="Q43" s="149">
        <v>5</v>
      </c>
      <c r="R43" s="165">
        <f>((I43*$C$8+K43)+((M43*$C$8+O43))*Q43)</f>
        <v>0</v>
      </c>
      <c r="S43" s="165">
        <f>((J43*$C$8+L43)+((N43*$C$8+P43))*Q43)</f>
        <v>0</v>
      </c>
      <c r="T43" s="152">
        <f t="shared" si="5"/>
        <v>0</v>
      </c>
      <c r="U43" s="152">
        <f t="shared" si="5"/>
        <v>0</v>
      </c>
      <c r="V43" s="76" t="s">
        <v>444</v>
      </c>
      <c r="W43" s="167" t="s">
        <v>472</v>
      </c>
    </row>
    <row r="44" spans="1:24" s="45" customFormat="1" ht="36" customHeight="1">
      <c r="A44" s="155">
        <v>2.3</v>
      </c>
      <c r="B44" s="155"/>
      <c r="C44" s="155"/>
      <c r="D44" s="169"/>
      <c r="E44" s="155"/>
      <c r="F44" s="543" t="s">
        <v>413</v>
      </c>
      <c r="G44" s="543"/>
      <c r="H44" s="539"/>
      <c r="I44" s="539"/>
      <c r="J44" s="539"/>
      <c r="K44" s="539"/>
      <c r="L44" s="539"/>
      <c r="M44" s="539"/>
      <c r="N44" s="539"/>
      <c r="O44" s="539"/>
      <c r="P44" s="539"/>
      <c r="Q44" s="539"/>
      <c r="R44" s="539"/>
      <c r="S44" s="539"/>
      <c r="T44" s="539"/>
      <c r="U44" s="539"/>
      <c r="V44" s="539"/>
      <c r="W44" s="539"/>
      <c r="X44"/>
    </row>
    <row r="45" spans="1:24" s="45" customFormat="1" ht="36" customHeight="1">
      <c r="A45" s="147" t="s">
        <v>414</v>
      </c>
      <c r="B45" s="147" t="s">
        <v>144</v>
      </c>
      <c r="C45" s="73" t="s">
        <v>58</v>
      </c>
      <c r="D45" s="170" t="s">
        <v>60</v>
      </c>
      <c r="E45" s="73"/>
      <c r="F45" s="545" t="s">
        <v>415</v>
      </c>
      <c r="G45" s="545"/>
      <c r="H45" s="58" t="s">
        <v>601</v>
      </c>
      <c r="I45" s="164">
        <v>8</v>
      </c>
      <c r="J45" s="164">
        <v>16</v>
      </c>
      <c r="K45" s="79"/>
      <c r="L45" s="79"/>
      <c r="M45" s="164"/>
      <c r="N45" s="164"/>
      <c r="O45" s="79"/>
      <c r="P45" s="79"/>
      <c r="Q45" s="149">
        <v>5</v>
      </c>
      <c r="R45" s="165">
        <f>((I45*$C$8+K45)+((M45*$C$8+O45))*Q45)</f>
        <v>800</v>
      </c>
      <c r="S45" s="165">
        <f>((J45*$C$8+L45)+((N45*$C$8+P45))*Q45)</f>
        <v>1600</v>
      </c>
      <c r="T45" s="152">
        <f>I45+(M45*5)</f>
        <v>8</v>
      </c>
      <c r="U45" s="152">
        <f>J45+(N45*5)</f>
        <v>16</v>
      </c>
      <c r="V45" s="73"/>
      <c r="W45" s="167" t="s">
        <v>472</v>
      </c>
      <c r="X45"/>
    </row>
    <row r="46" spans="1:23" s="45" customFormat="1" ht="36" customHeight="1">
      <c r="A46" s="147" t="s">
        <v>416</v>
      </c>
      <c r="B46" s="147" t="s">
        <v>143</v>
      </c>
      <c r="C46" s="73"/>
      <c r="D46" s="168" t="s">
        <v>62</v>
      </c>
      <c r="E46" s="73"/>
      <c r="F46" s="465" t="s">
        <v>417</v>
      </c>
      <c r="G46" s="465"/>
      <c r="H46" s="58" t="s">
        <v>601</v>
      </c>
      <c r="I46" s="164"/>
      <c r="J46" s="164"/>
      <c r="K46" s="79"/>
      <c r="L46" s="79"/>
      <c r="M46" s="164"/>
      <c r="N46" s="164"/>
      <c r="O46" s="79"/>
      <c r="P46" s="79"/>
      <c r="Q46" s="149">
        <v>5</v>
      </c>
      <c r="R46" s="165">
        <f>((I46*$C$8+K46)+((M46*$C$8+O46))*Q46)</f>
        <v>0</v>
      </c>
      <c r="S46" s="165">
        <f>((J46*$C$8+L46)+((N46*$C$8+P46))*Q46)</f>
        <v>0</v>
      </c>
      <c r="T46" s="152">
        <f>I46+(M46*5)</f>
        <v>0</v>
      </c>
      <c r="U46" s="152">
        <f>J46+(N46*5)</f>
        <v>0</v>
      </c>
      <c r="V46" s="76" t="s">
        <v>418</v>
      </c>
      <c r="W46" s="167" t="s">
        <v>472</v>
      </c>
    </row>
    <row r="47" spans="1:23" s="45" customFormat="1" ht="36" customHeight="1">
      <c r="A47" s="155">
        <v>2.4</v>
      </c>
      <c r="B47" s="155"/>
      <c r="C47" s="155"/>
      <c r="D47" s="169"/>
      <c r="E47" s="155"/>
      <c r="F47" s="543" t="s">
        <v>419</v>
      </c>
      <c r="G47" s="543"/>
      <c r="H47" s="539"/>
      <c r="I47" s="539"/>
      <c r="J47" s="539"/>
      <c r="K47" s="539"/>
      <c r="L47" s="539"/>
      <c r="M47" s="539"/>
      <c r="N47" s="539"/>
      <c r="O47" s="539"/>
      <c r="P47" s="539"/>
      <c r="Q47" s="539"/>
      <c r="R47" s="539"/>
      <c r="S47" s="539"/>
      <c r="T47" s="539"/>
      <c r="U47" s="539"/>
      <c r="V47" s="539"/>
      <c r="W47" s="539"/>
    </row>
    <row r="48" spans="1:23" s="45" customFormat="1" ht="36" customHeight="1">
      <c r="A48" s="147" t="s">
        <v>420</v>
      </c>
      <c r="B48" s="147" t="s">
        <v>144</v>
      </c>
      <c r="C48" s="73" t="s">
        <v>58</v>
      </c>
      <c r="D48" s="170" t="s">
        <v>60</v>
      </c>
      <c r="E48" s="73"/>
      <c r="F48" s="541" t="s">
        <v>421</v>
      </c>
      <c r="G48" s="541"/>
      <c r="H48" s="58" t="s">
        <v>602</v>
      </c>
      <c r="I48" s="164">
        <v>12</v>
      </c>
      <c r="J48" s="164">
        <v>24</v>
      </c>
      <c r="K48" s="79"/>
      <c r="L48" s="79"/>
      <c r="M48" s="164"/>
      <c r="N48" s="164"/>
      <c r="O48" s="79"/>
      <c r="P48" s="79"/>
      <c r="Q48" s="149">
        <v>5</v>
      </c>
      <c r="R48" s="165">
        <f>((I48*$C$8+K48)+((M48*$C$8+O48))*Q48)</f>
        <v>1200</v>
      </c>
      <c r="S48" s="165">
        <f>((J48*$C$8+L48)+((N48*$C$8+P48))*Q48)</f>
        <v>2400</v>
      </c>
      <c r="T48" s="152">
        <f aca="true" t="shared" si="6" ref="T48:U51">I48+(M48*5)</f>
        <v>12</v>
      </c>
      <c r="U48" s="152">
        <f t="shared" si="6"/>
        <v>24</v>
      </c>
      <c r="V48" s="73" t="s">
        <v>445</v>
      </c>
      <c r="W48" s="167" t="s">
        <v>472</v>
      </c>
    </row>
    <row r="49" spans="1:23" s="45" customFormat="1" ht="36" customHeight="1">
      <c r="A49" s="147" t="s">
        <v>422</v>
      </c>
      <c r="B49" s="147" t="s">
        <v>143</v>
      </c>
      <c r="C49" s="73"/>
      <c r="D49" s="163" t="s">
        <v>62</v>
      </c>
      <c r="E49" s="73"/>
      <c r="F49" s="465" t="s">
        <v>423</v>
      </c>
      <c r="G49" s="465"/>
      <c r="H49" s="58" t="s">
        <v>602</v>
      </c>
      <c r="I49" s="164"/>
      <c r="J49" s="164"/>
      <c r="K49" s="79"/>
      <c r="L49" s="79"/>
      <c r="M49" s="164">
        <v>11</v>
      </c>
      <c r="N49" s="164">
        <v>16</v>
      </c>
      <c r="O49" s="79"/>
      <c r="P49" s="79"/>
      <c r="Q49" s="149">
        <v>5</v>
      </c>
      <c r="R49" s="165">
        <f>((I49*$C$8+K49)+((M49*$C$8+O49))*Q49)</f>
        <v>5500</v>
      </c>
      <c r="S49" s="165">
        <f>((J49*$C$8+L49)+((N49*$C$8+P49))*Q49)</f>
        <v>8000</v>
      </c>
      <c r="T49" s="152">
        <f t="shared" si="6"/>
        <v>55</v>
      </c>
      <c r="U49" s="152">
        <f t="shared" si="6"/>
        <v>80</v>
      </c>
      <c r="V49" s="284" t="s">
        <v>511</v>
      </c>
      <c r="W49" s="167" t="s">
        <v>472</v>
      </c>
    </row>
    <row r="50" spans="1:23" s="45" customFormat="1" ht="36" customHeight="1">
      <c r="A50" s="147" t="s">
        <v>424</v>
      </c>
      <c r="B50" s="147" t="s">
        <v>2</v>
      </c>
      <c r="C50" s="73"/>
      <c r="D50" s="163" t="s">
        <v>62</v>
      </c>
      <c r="E50" s="73" t="s">
        <v>70</v>
      </c>
      <c r="F50" s="465" t="s">
        <v>174</v>
      </c>
      <c r="G50" s="465"/>
      <c r="H50" s="58" t="s">
        <v>603</v>
      </c>
      <c r="I50" s="164"/>
      <c r="J50" s="164"/>
      <c r="K50" s="79"/>
      <c r="L50" s="79"/>
      <c r="M50" s="164"/>
      <c r="N50" s="164"/>
      <c r="O50" s="79"/>
      <c r="P50" s="79"/>
      <c r="Q50" s="149">
        <v>5</v>
      </c>
      <c r="R50" s="165">
        <f>((I50*$C$8+K50)+((M50*$C$8+O50))*Q50)</f>
        <v>0</v>
      </c>
      <c r="S50" s="165">
        <f>((J50*$C$8+L50)+((N50*$C$8+P50))*Q50)</f>
        <v>0</v>
      </c>
      <c r="T50" s="152">
        <f t="shared" si="6"/>
        <v>0</v>
      </c>
      <c r="U50" s="152">
        <f t="shared" si="6"/>
        <v>0</v>
      </c>
      <c r="V50" s="73" t="s">
        <v>467</v>
      </c>
      <c r="W50" s="73"/>
    </row>
    <row r="51" spans="1:23" s="45" customFormat="1" ht="36" customHeight="1">
      <c r="A51" s="147" t="s">
        <v>425</v>
      </c>
      <c r="B51" s="147" t="s">
        <v>2</v>
      </c>
      <c r="C51" s="73"/>
      <c r="D51" s="163" t="s">
        <v>59</v>
      </c>
      <c r="E51" s="73"/>
      <c r="F51" s="465" t="s">
        <v>426</v>
      </c>
      <c r="G51" s="465"/>
      <c r="H51" s="58" t="s">
        <v>604</v>
      </c>
      <c r="I51" s="164"/>
      <c r="J51" s="164"/>
      <c r="K51" s="79"/>
      <c r="L51" s="79"/>
      <c r="M51" s="164"/>
      <c r="N51" s="164"/>
      <c r="O51" s="79"/>
      <c r="P51" s="79"/>
      <c r="Q51" s="149">
        <v>5</v>
      </c>
      <c r="R51" s="165">
        <f>((I51*$C$8+K51)+((M51*$C$8+O51))*Q51)</f>
        <v>0</v>
      </c>
      <c r="S51" s="165">
        <f>((J51*$C$8+L51)+((N51*$C$8+P51))*Q51)</f>
        <v>0</v>
      </c>
      <c r="T51" s="152">
        <f t="shared" si="6"/>
        <v>0</v>
      </c>
      <c r="U51" s="152">
        <f t="shared" si="6"/>
        <v>0</v>
      </c>
      <c r="V51" s="76" t="s">
        <v>446</v>
      </c>
      <c r="W51" s="167" t="s">
        <v>472</v>
      </c>
    </row>
    <row r="52" spans="1:23" s="45" customFormat="1" ht="36" customHeight="1">
      <c r="A52" s="154">
        <v>3</v>
      </c>
      <c r="B52" s="154"/>
      <c r="C52" s="154"/>
      <c r="D52" s="544" t="s">
        <v>427</v>
      </c>
      <c r="E52" s="544"/>
      <c r="F52" s="544"/>
      <c r="G52" s="544"/>
      <c r="H52" s="538"/>
      <c r="I52" s="538"/>
      <c r="J52" s="538"/>
      <c r="K52" s="538"/>
      <c r="L52" s="538"/>
      <c r="M52" s="538"/>
      <c r="N52" s="538"/>
      <c r="O52" s="538"/>
      <c r="P52" s="538"/>
      <c r="Q52" s="538"/>
      <c r="R52" s="538"/>
      <c r="S52" s="538"/>
      <c r="T52" s="538"/>
      <c r="U52" s="538"/>
      <c r="V52" s="538"/>
      <c r="W52" s="538"/>
    </row>
    <row r="53" spans="1:23" s="45" customFormat="1" ht="36" customHeight="1">
      <c r="A53" s="147">
        <v>3.1</v>
      </c>
      <c r="B53" s="147" t="s">
        <v>144</v>
      </c>
      <c r="C53" s="73" t="s">
        <v>76</v>
      </c>
      <c r="D53" s="166" t="s">
        <v>60</v>
      </c>
      <c r="E53" s="73"/>
      <c r="F53" s="545" t="s">
        <v>428</v>
      </c>
      <c r="G53" s="545"/>
      <c r="H53" s="58" t="s">
        <v>605</v>
      </c>
      <c r="I53" s="164"/>
      <c r="J53" s="164"/>
      <c r="K53" s="79">
        <f>C7*5000</f>
        <v>10000</v>
      </c>
      <c r="L53" s="79">
        <f>D7*5000</f>
        <v>15000</v>
      </c>
      <c r="M53" s="164"/>
      <c r="N53" s="164"/>
      <c r="O53" s="79"/>
      <c r="P53" s="79"/>
      <c r="Q53" s="149">
        <v>5</v>
      </c>
      <c r="R53" s="165">
        <f aca="true" t="shared" si="7" ref="R53:R59">((I53*$C$8+K53)+((M53*$C$8+O53))*Q53)</f>
        <v>10000</v>
      </c>
      <c r="S53" s="165">
        <f aca="true" t="shared" si="8" ref="S53:S59">((J53*$C$8+L53)+((N53*$C$8+P53))*Q53)</f>
        <v>15000</v>
      </c>
      <c r="T53" s="152">
        <f>I53+(M53*5)</f>
        <v>0</v>
      </c>
      <c r="U53" s="152">
        <f>J53+(N53*5)</f>
        <v>0</v>
      </c>
      <c r="V53" s="76" t="s">
        <v>517</v>
      </c>
      <c r="W53" s="73" t="s">
        <v>450</v>
      </c>
    </row>
    <row r="54" spans="1:23" s="45" customFormat="1" ht="36" customHeight="1">
      <c r="A54" s="147">
        <v>3.2</v>
      </c>
      <c r="B54" s="147" t="s">
        <v>429</v>
      </c>
      <c r="C54" s="73" t="s">
        <v>76</v>
      </c>
      <c r="D54" s="163" t="s">
        <v>62</v>
      </c>
      <c r="E54" s="73"/>
      <c r="F54" s="465" t="s">
        <v>430</v>
      </c>
      <c r="G54" s="465"/>
      <c r="H54" s="58" t="s">
        <v>605</v>
      </c>
      <c r="I54" s="164"/>
      <c r="J54" s="164"/>
      <c r="K54" s="79"/>
      <c r="L54" s="79"/>
      <c r="M54" s="164"/>
      <c r="N54" s="164"/>
      <c r="O54" s="79">
        <f>1000*C7</f>
        <v>2000</v>
      </c>
      <c r="P54" s="79">
        <f>1500*D7</f>
        <v>4500</v>
      </c>
      <c r="Q54" s="149">
        <v>5</v>
      </c>
      <c r="R54" s="165">
        <f t="shared" si="7"/>
        <v>10000</v>
      </c>
      <c r="S54" s="165">
        <f t="shared" si="8"/>
        <v>22500</v>
      </c>
      <c r="T54" s="152">
        <f aca="true" t="shared" si="9" ref="T54:T59">I54+(M54*5)</f>
        <v>0</v>
      </c>
      <c r="U54" s="152">
        <f aca="true" t="shared" si="10" ref="U54:U59">J54+(N54*5)</f>
        <v>0</v>
      </c>
      <c r="V54" s="76" t="s">
        <v>512</v>
      </c>
      <c r="W54" s="73" t="s">
        <v>518</v>
      </c>
    </row>
    <row r="55" spans="1:23" s="45" customFormat="1" ht="36" customHeight="1">
      <c r="A55" s="147">
        <v>3.3</v>
      </c>
      <c r="B55" s="147" t="s">
        <v>86</v>
      </c>
      <c r="C55" s="73"/>
      <c r="D55" s="163" t="s">
        <v>62</v>
      </c>
      <c r="E55" s="73"/>
      <c r="F55" s="471" t="s">
        <v>431</v>
      </c>
      <c r="G55" s="471"/>
      <c r="H55" s="58" t="s">
        <v>606</v>
      </c>
      <c r="I55" s="164"/>
      <c r="J55" s="164"/>
      <c r="K55" s="79"/>
      <c r="L55" s="79"/>
      <c r="M55" s="164">
        <v>12</v>
      </c>
      <c r="N55" s="164">
        <v>14</v>
      </c>
      <c r="O55" s="79"/>
      <c r="P55" s="79"/>
      <c r="Q55" s="149">
        <v>5</v>
      </c>
      <c r="R55" s="165">
        <f t="shared" si="7"/>
        <v>6000</v>
      </c>
      <c r="S55" s="165">
        <f t="shared" si="8"/>
        <v>7000</v>
      </c>
      <c r="T55" s="152">
        <f t="shared" si="9"/>
        <v>60</v>
      </c>
      <c r="U55" s="152">
        <f t="shared" si="10"/>
        <v>70</v>
      </c>
      <c r="V55" s="76" t="s">
        <v>447</v>
      </c>
      <c r="W55" s="167" t="s">
        <v>472</v>
      </c>
    </row>
    <row r="56" spans="1:23" s="45" customFormat="1" ht="36" customHeight="1">
      <c r="A56" s="147">
        <v>3.4</v>
      </c>
      <c r="B56" s="147" t="s">
        <v>429</v>
      </c>
      <c r="C56" s="73"/>
      <c r="D56" s="163" t="s">
        <v>432</v>
      </c>
      <c r="E56" s="73"/>
      <c r="F56" s="471" t="s">
        <v>433</v>
      </c>
      <c r="G56" s="471"/>
      <c r="H56" s="58" t="s">
        <v>607</v>
      </c>
      <c r="I56" s="164"/>
      <c r="J56" s="164"/>
      <c r="K56" s="79"/>
      <c r="L56" s="79"/>
      <c r="M56" s="164">
        <v>16</v>
      </c>
      <c r="N56" s="164">
        <v>48</v>
      </c>
      <c r="O56" s="79"/>
      <c r="P56" s="79"/>
      <c r="Q56" s="149">
        <v>5</v>
      </c>
      <c r="R56" s="165">
        <f t="shared" si="7"/>
        <v>8000</v>
      </c>
      <c r="S56" s="165">
        <f t="shared" si="8"/>
        <v>24000</v>
      </c>
      <c r="T56" s="152">
        <f t="shared" si="9"/>
        <v>80</v>
      </c>
      <c r="U56" s="152">
        <f t="shared" si="10"/>
        <v>240</v>
      </c>
      <c r="V56" s="76" t="s">
        <v>448</v>
      </c>
      <c r="W56" s="167" t="s">
        <v>472</v>
      </c>
    </row>
    <row r="57" spans="1:23" s="45" customFormat="1" ht="36" customHeight="1">
      <c r="A57" s="147">
        <v>3.5</v>
      </c>
      <c r="B57" s="147" t="s">
        <v>143</v>
      </c>
      <c r="C57" s="73"/>
      <c r="D57" s="158" t="s">
        <v>61</v>
      </c>
      <c r="E57" s="73"/>
      <c r="F57" s="542" t="s">
        <v>434</v>
      </c>
      <c r="G57" s="542"/>
      <c r="H57" s="58" t="s">
        <v>608</v>
      </c>
      <c r="I57" s="164"/>
      <c r="J57" s="164"/>
      <c r="K57" s="79"/>
      <c r="L57" s="79"/>
      <c r="M57" s="164"/>
      <c r="N57" s="164"/>
      <c r="O57" s="79"/>
      <c r="P57" s="79"/>
      <c r="Q57" s="149">
        <v>5</v>
      </c>
      <c r="R57" s="165">
        <f t="shared" si="7"/>
        <v>0</v>
      </c>
      <c r="S57" s="165">
        <f t="shared" si="8"/>
        <v>0</v>
      </c>
      <c r="T57" s="152">
        <f t="shared" si="9"/>
        <v>0</v>
      </c>
      <c r="U57" s="152">
        <f t="shared" si="10"/>
        <v>0</v>
      </c>
      <c r="V57" s="76" t="s">
        <v>449</v>
      </c>
      <c r="W57" s="167" t="s">
        <v>472</v>
      </c>
    </row>
    <row r="58" spans="1:23" s="45" customFormat="1" ht="36" customHeight="1">
      <c r="A58" s="147">
        <v>3.6</v>
      </c>
      <c r="B58" s="147" t="s">
        <v>2</v>
      </c>
      <c r="C58" s="73"/>
      <c r="D58" s="163" t="s">
        <v>62</v>
      </c>
      <c r="E58" s="73" t="s">
        <v>70</v>
      </c>
      <c r="F58" s="465" t="s">
        <v>435</v>
      </c>
      <c r="G58" s="465"/>
      <c r="H58" s="58" t="s">
        <v>609</v>
      </c>
      <c r="I58" s="164"/>
      <c r="J58" s="164"/>
      <c r="K58" s="79"/>
      <c r="L58" s="79"/>
      <c r="M58" s="164"/>
      <c r="N58" s="164"/>
      <c r="O58" s="79"/>
      <c r="P58" s="79"/>
      <c r="Q58" s="149">
        <v>5</v>
      </c>
      <c r="R58" s="165">
        <f t="shared" si="7"/>
        <v>0</v>
      </c>
      <c r="S58" s="165">
        <f t="shared" si="8"/>
        <v>0</v>
      </c>
      <c r="T58" s="152">
        <f t="shared" si="9"/>
        <v>0</v>
      </c>
      <c r="U58" s="152">
        <f t="shared" si="10"/>
        <v>0</v>
      </c>
      <c r="V58" s="73" t="s">
        <v>467</v>
      </c>
      <c r="W58" s="73"/>
    </row>
    <row r="59" spans="1:23" s="45" customFormat="1" ht="36" customHeight="1">
      <c r="A59" s="147">
        <v>3.7</v>
      </c>
      <c r="B59" s="147" t="s">
        <v>2</v>
      </c>
      <c r="C59" s="73"/>
      <c r="D59" s="163" t="s">
        <v>59</v>
      </c>
      <c r="E59" s="73"/>
      <c r="F59" s="465" t="s">
        <v>436</v>
      </c>
      <c r="G59" s="465"/>
      <c r="H59" s="58" t="s">
        <v>610</v>
      </c>
      <c r="I59" s="73"/>
      <c r="J59" s="73"/>
      <c r="K59" s="73"/>
      <c r="L59" s="73"/>
      <c r="M59" s="164">
        <v>8</v>
      </c>
      <c r="N59" s="164">
        <v>16</v>
      </c>
      <c r="O59" s="79"/>
      <c r="P59" s="79"/>
      <c r="Q59" s="149">
        <v>5</v>
      </c>
      <c r="R59" s="165">
        <f t="shared" si="7"/>
        <v>4000</v>
      </c>
      <c r="S59" s="165">
        <f t="shared" si="8"/>
        <v>8000</v>
      </c>
      <c r="T59" s="152">
        <f t="shared" si="9"/>
        <v>40</v>
      </c>
      <c r="U59" s="152">
        <f t="shared" si="10"/>
        <v>80</v>
      </c>
      <c r="V59" s="73"/>
      <c r="W59" s="167" t="s">
        <v>472</v>
      </c>
    </row>
    <row r="60" spans="1:23" ht="36" customHeight="1">
      <c r="A60" s="73"/>
      <c r="B60" s="73"/>
      <c r="C60" s="73"/>
      <c r="D60" s="73"/>
      <c r="E60" s="73"/>
      <c r="F60" s="73"/>
      <c r="G60" s="73"/>
      <c r="H60" s="73"/>
      <c r="I60" s="73"/>
      <c r="J60" s="73"/>
      <c r="K60" s="73"/>
      <c r="L60" s="73"/>
      <c r="M60" s="73"/>
      <c r="N60" s="73"/>
      <c r="O60" s="73"/>
      <c r="P60" s="73"/>
      <c r="Q60" s="73"/>
      <c r="R60" s="73"/>
      <c r="S60" s="73"/>
      <c r="T60" s="73"/>
      <c r="U60" s="73"/>
      <c r="V60" s="73"/>
      <c r="W60" s="73"/>
    </row>
    <row r="61" spans="1:23" ht="36" customHeight="1">
      <c r="A61" s="171"/>
      <c r="B61" s="171"/>
      <c r="C61" s="171"/>
      <c r="D61" s="171"/>
      <c r="E61" s="171"/>
      <c r="F61" s="171"/>
      <c r="G61" s="171"/>
      <c r="H61" s="171"/>
      <c r="I61" s="171"/>
      <c r="J61" s="171"/>
      <c r="K61" s="171"/>
      <c r="L61" s="171"/>
      <c r="M61" s="171"/>
      <c r="N61" s="171"/>
      <c r="O61" s="171"/>
      <c r="P61" s="172"/>
      <c r="Q61" s="175" t="s">
        <v>484</v>
      </c>
      <c r="R61" s="173">
        <f>ROUND((SUM(R26:R60)),3-(INT(LOG((SUM(R26:R60)))+1)))</f>
        <v>78600</v>
      </c>
      <c r="S61" s="173">
        <f>ROUND((SUM(S26:S59)-(S33+S34)),3-(INT(LOG((SUM(S26:S59)-(S33+S34)))+1)))</f>
        <v>153000</v>
      </c>
      <c r="T61" s="174">
        <f>ROUND((SUM(T26:T60)),3-(INT(LOG((SUM(T26:T60)))+1)))</f>
        <v>411</v>
      </c>
      <c r="U61" s="174">
        <f>ROUND((SUM(U26:U59)-(U33+U34)),3-(INT(LOG((SUM(U26:U59)-(U33+U34)))+1)))</f>
        <v>800</v>
      </c>
      <c r="V61" s="171"/>
      <c r="W61" s="171"/>
    </row>
    <row r="62" spans="1:23" ht="36" customHeight="1">
      <c r="A62" s="58"/>
      <c r="B62" s="58"/>
      <c r="C62" s="58"/>
      <c r="D62" s="58"/>
      <c r="E62" s="58"/>
      <c r="F62" s="58"/>
      <c r="G62" s="58"/>
      <c r="H62" s="58"/>
      <c r="I62" s="58"/>
      <c r="J62" s="58"/>
      <c r="K62" s="58"/>
      <c r="L62" s="58"/>
      <c r="M62" s="58"/>
      <c r="N62" s="58"/>
      <c r="O62" s="58"/>
      <c r="P62" s="58"/>
      <c r="Q62" s="58"/>
      <c r="R62" s="58"/>
      <c r="S62" s="58"/>
      <c r="T62" s="58"/>
      <c r="U62" s="58"/>
      <c r="V62" s="58"/>
      <c r="W62" s="58"/>
    </row>
    <row r="63" spans="1:23" ht="13.5">
      <c r="A63" s="58"/>
      <c r="B63" s="58"/>
      <c r="C63" s="58"/>
      <c r="D63" s="58"/>
      <c r="E63" s="58"/>
      <c r="F63" s="58"/>
      <c r="G63" s="58"/>
      <c r="H63" s="58"/>
      <c r="I63" s="58"/>
      <c r="J63" s="58"/>
      <c r="K63" s="58"/>
      <c r="L63" s="58"/>
      <c r="M63" s="58"/>
      <c r="N63" s="58"/>
      <c r="O63" s="58"/>
      <c r="P63" s="58"/>
      <c r="Q63" s="58"/>
      <c r="R63" s="58"/>
      <c r="S63" s="58"/>
      <c r="T63" s="58"/>
      <c r="U63" s="58"/>
      <c r="V63" s="58"/>
      <c r="W63" s="58"/>
    </row>
    <row r="64" spans="1:23" ht="13.5">
      <c r="A64" s="58"/>
      <c r="B64" s="58"/>
      <c r="C64" s="58"/>
      <c r="D64" s="58"/>
      <c r="E64" s="58"/>
      <c r="F64" s="58"/>
      <c r="G64" s="58"/>
      <c r="H64" s="58"/>
      <c r="I64" s="58"/>
      <c r="J64" s="58"/>
      <c r="K64" s="58"/>
      <c r="L64" s="58"/>
      <c r="M64" s="58"/>
      <c r="N64" s="58"/>
      <c r="O64" s="58"/>
      <c r="P64" s="58"/>
      <c r="Q64" s="58"/>
      <c r="R64" s="58"/>
      <c r="S64" s="58"/>
      <c r="T64" s="58"/>
      <c r="U64" s="58"/>
      <c r="V64" s="58"/>
      <c r="W64" s="58"/>
    </row>
    <row r="65" spans="1:23" ht="13.5">
      <c r="A65" s="58"/>
      <c r="B65" s="58"/>
      <c r="C65" s="58"/>
      <c r="D65" s="58"/>
      <c r="E65" s="58"/>
      <c r="F65" s="58"/>
      <c r="G65" s="58"/>
      <c r="H65" s="58"/>
      <c r="I65" s="58"/>
      <c r="J65" s="58"/>
      <c r="K65" s="58"/>
      <c r="L65" s="58"/>
      <c r="M65" s="58"/>
      <c r="N65" s="58"/>
      <c r="O65" s="58"/>
      <c r="P65" s="58"/>
      <c r="Q65" s="58"/>
      <c r="R65" s="58"/>
      <c r="S65" s="58"/>
      <c r="T65" s="58"/>
      <c r="U65" s="58"/>
      <c r="V65" s="58"/>
      <c r="W65" s="58"/>
    </row>
  </sheetData>
  <sheetProtection/>
  <mergeCells count="70">
    <mergeCell ref="R22:U22"/>
    <mergeCell ref="V22:V24"/>
    <mergeCell ref="W22:W24"/>
    <mergeCell ref="O23:P23"/>
    <mergeCell ref="A22:A24"/>
    <mergeCell ref="B22:B24"/>
    <mergeCell ref="C22:C24"/>
    <mergeCell ref="D22:D24"/>
    <mergeCell ref="E22:E24"/>
    <mergeCell ref="F22:G24"/>
    <mergeCell ref="H22:H24"/>
    <mergeCell ref="Q23:Q24"/>
    <mergeCell ref="W34:W36"/>
    <mergeCell ref="T23:U23"/>
    <mergeCell ref="R23:S23"/>
    <mergeCell ref="I22:L22"/>
    <mergeCell ref="M22:Q22"/>
    <mergeCell ref="I23:J23"/>
    <mergeCell ref="K23:L23"/>
    <mergeCell ref="M23:N23"/>
    <mergeCell ref="A7:B7"/>
    <mergeCell ref="A8:B8"/>
    <mergeCell ref="A1:D1"/>
    <mergeCell ref="F26:G26"/>
    <mergeCell ref="A2:B2"/>
    <mergeCell ref="A3:B3"/>
    <mergeCell ref="A5:B5"/>
    <mergeCell ref="B11:C11"/>
    <mergeCell ref="D11:E11"/>
    <mergeCell ref="A4:B4"/>
    <mergeCell ref="F37:G37"/>
    <mergeCell ref="F39:G39"/>
    <mergeCell ref="F40:G40"/>
    <mergeCell ref="F41:G41"/>
    <mergeCell ref="F27:G27"/>
    <mergeCell ref="F28:G28"/>
    <mergeCell ref="F32:G32"/>
    <mergeCell ref="F31:G31"/>
    <mergeCell ref="F33:G33"/>
    <mergeCell ref="F34:G34"/>
    <mergeCell ref="F53:G53"/>
    <mergeCell ref="F54:G54"/>
    <mergeCell ref="F55:G55"/>
    <mergeCell ref="F56:G56"/>
    <mergeCell ref="F42:G42"/>
    <mergeCell ref="F43:G43"/>
    <mergeCell ref="F45:G45"/>
    <mergeCell ref="F46:G46"/>
    <mergeCell ref="F48:G48"/>
    <mergeCell ref="F49:G49"/>
    <mergeCell ref="F57:G57"/>
    <mergeCell ref="F58:G58"/>
    <mergeCell ref="F59:G59"/>
    <mergeCell ref="F30:G30"/>
    <mergeCell ref="F38:G38"/>
    <mergeCell ref="F44:G44"/>
    <mergeCell ref="F47:G47"/>
    <mergeCell ref="D52:G52"/>
    <mergeCell ref="F50:G50"/>
    <mergeCell ref="F51:G51"/>
    <mergeCell ref="A6:B6"/>
    <mergeCell ref="H25:W25"/>
    <mergeCell ref="H52:W52"/>
    <mergeCell ref="H30:W30"/>
    <mergeCell ref="H29:W29"/>
    <mergeCell ref="H38:W38"/>
    <mergeCell ref="H44:W44"/>
    <mergeCell ref="H47:W47"/>
    <mergeCell ref="F35:G35"/>
    <mergeCell ref="F36:G3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E52"/>
  <sheetViews>
    <sheetView zoomScale="75" zoomScaleNormal="75" workbookViewId="0" topLeftCell="A1">
      <selection activeCell="A5" sqref="A5"/>
    </sheetView>
  </sheetViews>
  <sheetFormatPr defaultColWidth="8.8515625" defaultRowHeight="15"/>
  <cols>
    <col min="1" max="1" width="10.8515625" style="0" bestFit="1" customWidth="1"/>
    <col min="2" max="2" width="10.8515625" style="1" bestFit="1" customWidth="1"/>
    <col min="3" max="3" width="10.421875" style="1" customWidth="1"/>
    <col min="4" max="4" width="12.28125" style="0" customWidth="1"/>
    <col min="5" max="6" width="5.7109375" style="1" customWidth="1"/>
    <col min="7" max="7" width="94.8515625" style="0" customWidth="1"/>
    <col min="8" max="8" width="23.140625" style="0" customWidth="1"/>
    <col min="9" max="10" width="10.7109375" style="21" customWidth="1"/>
    <col min="11" max="19" width="10.7109375" style="24" customWidth="1"/>
    <col min="20" max="21" width="8.8515625" style="0" customWidth="1"/>
    <col min="22" max="22" width="66.140625" style="7" customWidth="1"/>
    <col min="23" max="23" width="36.8515625" style="0" customWidth="1"/>
    <col min="24" max="24" width="34.8515625" style="0" customWidth="1"/>
  </cols>
  <sheetData>
    <row r="1" spans="1:22" s="26" customFormat="1" ht="30" customHeight="1">
      <c r="A1" s="483" t="s">
        <v>480</v>
      </c>
      <c r="B1" s="466"/>
      <c r="C1" s="467"/>
      <c r="D1" s="45"/>
      <c r="E1" s="45"/>
      <c r="H1" s="62"/>
      <c r="I1" s="63"/>
      <c r="J1" s="63"/>
      <c r="K1" s="25"/>
      <c r="L1" s="25"/>
      <c r="M1" s="25"/>
      <c r="N1" s="25"/>
      <c r="O1" s="25"/>
      <c r="P1" s="25"/>
      <c r="Q1" s="25"/>
      <c r="R1" s="25"/>
      <c r="S1" s="25"/>
      <c r="T1"/>
      <c r="U1"/>
      <c r="V1" s="64"/>
    </row>
    <row r="2" spans="1:22" s="26" customFormat="1" ht="30" customHeight="1">
      <c r="A2" s="486" t="s">
        <v>344</v>
      </c>
      <c r="B2" s="487"/>
      <c r="C2" s="117">
        <f>'MS4 Stats'!B10</f>
        <v>100</v>
      </c>
      <c r="D2" s="45"/>
      <c r="E2" s="45"/>
      <c r="H2" s="62"/>
      <c r="I2" s="63"/>
      <c r="J2" s="63"/>
      <c r="K2" s="25"/>
      <c r="L2" s="25"/>
      <c r="M2" s="25"/>
      <c r="N2" s="25"/>
      <c r="O2" s="25"/>
      <c r="P2" s="25"/>
      <c r="Q2" s="25"/>
      <c r="R2" s="25"/>
      <c r="S2" s="25"/>
      <c r="T2"/>
      <c r="U2"/>
      <c r="V2" s="64"/>
    </row>
    <row r="3" spans="1:22" s="26" customFormat="1" ht="45" customHeight="1">
      <c r="A3"/>
      <c r="B3"/>
      <c r="C3"/>
      <c r="D3" s="3"/>
      <c r="E3"/>
      <c r="H3" s="62"/>
      <c r="I3" s="63"/>
      <c r="J3" s="63"/>
      <c r="K3" s="25"/>
      <c r="L3" s="25"/>
      <c r="M3" s="25"/>
      <c r="N3" s="25"/>
      <c r="O3" s="25"/>
      <c r="P3" s="25"/>
      <c r="Q3" s="25"/>
      <c r="R3" s="25"/>
      <c r="S3" s="25"/>
      <c r="T3"/>
      <c r="U3"/>
      <c r="V3" s="64"/>
    </row>
    <row r="4" spans="1:22" s="26" customFormat="1" ht="30" customHeight="1">
      <c r="A4" s="68"/>
      <c r="B4" s="466" t="s">
        <v>482</v>
      </c>
      <c r="C4" s="466"/>
      <c r="D4" s="466" t="s">
        <v>256</v>
      </c>
      <c r="E4" s="467"/>
      <c r="H4" s="62"/>
      <c r="I4" s="63"/>
      <c r="J4" s="63"/>
      <c r="K4" s="25"/>
      <c r="L4" s="25"/>
      <c r="M4" s="25"/>
      <c r="N4" s="25"/>
      <c r="O4" s="25"/>
      <c r="P4" s="25"/>
      <c r="Q4" s="25"/>
      <c r="R4" s="25"/>
      <c r="S4" s="25"/>
      <c r="T4"/>
      <c r="U4"/>
      <c r="V4" s="64"/>
    </row>
    <row r="5" spans="1:22" s="26" customFormat="1" ht="30" customHeight="1">
      <c r="A5" s="98"/>
      <c r="B5" s="99" t="s">
        <v>301</v>
      </c>
      <c r="C5" s="99" t="s">
        <v>302</v>
      </c>
      <c r="D5" s="99" t="s">
        <v>301</v>
      </c>
      <c r="E5" s="100" t="s">
        <v>302</v>
      </c>
      <c r="H5" s="62"/>
      <c r="I5" s="63"/>
      <c r="J5" s="63"/>
      <c r="K5" s="25"/>
      <c r="L5" s="25"/>
      <c r="M5" s="25"/>
      <c r="N5" s="25"/>
      <c r="O5" s="25"/>
      <c r="P5" s="25"/>
      <c r="Q5" s="25"/>
      <c r="R5" s="25"/>
      <c r="S5" s="25"/>
      <c r="T5"/>
      <c r="U5"/>
      <c r="V5" s="64"/>
    </row>
    <row r="6" spans="1:22" s="26" customFormat="1" ht="30" customHeight="1">
      <c r="A6" s="81" t="s">
        <v>62</v>
      </c>
      <c r="B6" s="82">
        <f>0</f>
        <v>0</v>
      </c>
      <c r="C6" s="83">
        <f>((O23+O25)*C2)+Q23</f>
        <v>0</v>
      </c>
      <c r="D6" s="84">
        <f>N21+N25</f>
        <v>0</v>
      </c>
      <c r="E6" s="85">
        <f>O23+O25</f>
        <v>0</v>
      </c>
      <c r="H6" s="62"/>
      <c r="I6" s="63"/>
      <c r="J6" s="63"/>
      <c r="K6" s="25"/>
      <c r="L6" s="25"/>
      <c r="M6" s="25"/>
      <c r="N6" s="25"/>
      <c r="O6" s="25"/>
      <c r="P6" s="25"/>
      <c r="Q6" s="25"/>
      <c r="R6" s="25"/>
      <c r="S6" s="25"/>
      <c r="T6"/>
      <c r="U6"/>
      <c r="V6" s="64"/>
    </row>
    <row r="7" spans="1:22" s="26" customFormat="1" ht="30" customHeight="1">
      <c r="A7" s="86" t="s">
        <v>483</v>
      </c>
      <c r="B7" s="87">
        <f>ROUND((R18+R19+R20+R21+R22+R24+R25+R28),3-(INT(LOG((R18+R19+R20+R21+R22+R24+R25+R28))+1)))</f>
        <v>5000</v>
      </c>
      <c r="C7" s="87">
        <f>ROUND((S18+S19+S20+S21+S22+S24+S25+S28),3-(INT(LOG((S18+S19+S20+S21+S22+S24+S25+S28))+1)))</f>
        <v>11200</v>
      </c>
      <c r="D7" s="227">
        <f>ROUND((T18+T19+T20+T21+T22+T24+T25+T28),3-(INT(LOG((T18+T19+T20+T21+T22+T24+T25+T28))+1)))</f>
        <v>50</v>
      </c>
      <c r="E7" s="280">
        <f>ROUND((U18+U19+U20+U21+U22+U24+U25+U28),3-(INT(LOG((U18+U19+U20+U21+U22+U24+U25+U28))+1)))</f>
        <v>112</v>
      </c>
      <c r="H7" s="62"/>
      <c r="I7" s="63"/>
      <c r="J7" s="63"/>
      <c r="K7" s="25"/>
      <c r="L7" s="25"/>
      <c r="M7" s="25"/>
      <c r="N7" s="25"/>
      <c r="O7" s="25"/>
      <c r="P7" s="25"/>
      <c r="Q7" s="25"/>
      <c r="R7" s="25"/>
      <c r="S7" s="25"/>
      <c r="T7"/>
      <c r="U7"/>
      <c r="V7" s="64"/>
    </row>
    <row r="8" spans="1:22" s="26" customFormat="1" ht="30" customHeight="1">
      <c r="A8" s="90" t="s">
        <v>61</v>
      </c>
      <c r="B8" s="91">
        <f>R26</f>
        <v>0</v>
      </c>
      <c r="C8" s="91">
        <f>ROUND(S26,3-(INT(LOG(S26))+1))</f>
        <v>1600</v>
      </c>
      <c r="D8" s="92">
        <v>0</v>
      </c>
      <c r="E8" s="91">
        <f>ROUND(U26,3-(INT(LOG(U26))+1))</f>
        <v>16</v>
      </c>
      <c r="H8" s="62"/>
      <c r="I8" s="63"/>
      <c r="J8" s="63"/>
      <c r="K8" s="25"/>
      <c r="L8" s="25"/>
      <c r="M8" s="25"/>
      <c r="N8" s="25"/>
      <c r="O8" s="25"/>
      <c r="P8" s="25"/>
      <c r="Q8" s="25"/>
      <c r="R8" s="25"/>
      <c r="S8" s="25"/>
      <c r="T8"/>
      <c r="U8"/>
      <c r="V8" s="64"/>
    </row>
    <row r="9" spans="1:22" s="26" customFormat="1" ht="30" customHeight="1">
      <c r="A9" s="94" t="s">
        <v>481</v>
      </c>
      <c r="B9" s="95">
        <f>R31</f>
        <v>5000</v>
      </c>
      <c r="C9" s="95">
        <f>S31</f>
        <v>11200</v>
      </c>
      <c r="D9" s="176">
        <f>T31</f>
        <v>50</v>
      </c>
      <c r="E9" s="177">
        <f>U31</f>
        <v>112</v>
      </c>
      <c r="F9" s="22"/>
      <c r="H9" s="62"/>
      <c r="I9" s="63"/>
      <c r="J9" s="63"/>
      <c r="K9" s="25"/>
      <c r="L9" s="25"/>
      <c r="M9" s="25"/>
      <c r="N9" s="25"/>
      <c r="O9" s="25"/>
      <c r="P9" s="25"/>
      <c r="Q9" s="25"/>
      <c r="R9" s="25"/>
      <c r="S9" s="25"/>
      <c r="T9"/>
      <c r="U9"/>
      <c r="V9" s="64"/>
    </row>
    <row r="10" spans="1:22" s="231" customFormat="1" ht="30" customHeight="1">
      <c r="A10" s="568" t="s">
        <v>486</v>
      </c>
      <c r="B10" s="569"/>
      <c r="C10" s="569"/>
      <c r="D10" s="569"/>
      <c r="E10" s="570"/>
      <c r="F10" s="230"/>
      <c r="H10" s="232"/>
      <c r="I10" s="233"/>
      <c r="J10" s="233"/>
      <c r="K10" s="234"/>
      <c r="L10" s="234"/>
      <c r="M10" s="234"/>
      <c r="N10" s="234"/>
      <c r="O10" s="234"/>
      <c r="P10" s="234"/>
      <c r="Q10" s="234"/>
      <c r="R10" s="234"/>
      <c r="S10" s="234"/>
      <c r="T10" s="61"/>
      <c r="U10" s="61"/>
      <c r="V10" s="235"/>
    </row>
    <row r="12" spans="1:24" s="61" customFormat="1" ht="13.5">
      <c r="A12" s="291"/>
      <c r="B12" s="292"/>
      <c r="C12" s="292"/>
      <c r="D12" s="291"/>
      <c r="E12" s="292"/>
      <c r="F12" s="292"/>
      <c r="G12" s="291"/>
      <c r="H12" s="291"/>
      <c r="I12" s="293"/>
      <c r="J12" s="293"/>
      <c r="K12" s="294"/>
      <c r="L12" s="294"/>
      <c r="M12" s="294"/>
      <c r="N12" s="294"/>
      <c r="O12" s="294"/>
      <c r="P12" s="294"/>
      <c r="Q12" s="294"/>
      <c r="R12" s="294"/>
      <c r="S12" s="294"/>
      <c r="T12" s="291"/>
      <c r="U12" s="291"/>
      <c r="V12" s="295"/>
      <c r="W12" s="291"/>
      <c r="X12"/>
    </row>
    <row r="13" spans="1:23" s="45" customFormat="1" ht="45" customHeight="1">
      <c r="A13" s="598" t="s">
        <v>0</v>
      </c>
      <c r="B13" s="598" t="s">
        <v>28</v>
      </c>
      <c r="C13" s="599" t="s">
        <v>31</v>
      </c>
      <c r="D13" s="599" t="s">
        <v>109</v>
      </c>
      <c r="E13" s="599" t="s">
        <v>69</v>
      </c>
      <c r="F13" s="600" t="s">
        <v>502</v>
      </c>
      <c r="G13" s="601"/>
      <c r="H13" s="285"/>
      <c r="I13" s="581" t="s">
        <v>497</v>
      </c>
      <c r="J13" s="581"/>
      <c r="K13" s="581"/>
      <c r="L13" s="581"/>
      <c r="M13" s="581" t="s">
        <v>498</v>
      </c>
      <c r="N13" s="581"/>
      <c r="O13" s="581"/>
      <c r="P13" s="581"/>
      <c r="Q13" s="581"/>
      <c r="R13" s="591" t="s">
        <v>499</v>
      </c>
      <c r="S13" s="592"/>
      <c r="T13" s="592"/>
      <c r="U13" s="593"/>
      <c r="V13" s="594" t="s">
        <v>259</v>
      </c>
      <c r="W13" s="597" t="s">
        <v>258</v>
      </c>
    </row>
    <row r="14" spans="1:31" ht="94.5" customHeight="1">
      <c r="A14" s="517"/>
      <c r="B14" s="517"/>
      <c r="C14" s="520"/>
      <c r="D14" s="520"/>
      <c r="E14" s="520"/>
      <c r="F14" s="602"/>
      <c r="G14" s="603"/>
      <c r="H14" s="597" t="s">
        <v>1</v>
      </c>
      <c r="I14" s="581" t="s">
        <v>256</v>
      </c>
      <c r="J14" s="581"/>
      <c r="K14" s="528" t="s">
        <v>453</v>
      </c>
      <c r="L14" s="528"/>
      <c r="M14" s="528" t="s">
        <v>319</v>
      </c>
      <c r="N14" s="528"/>
      <c r="O14" s="580" t="s">
        <v>453</v>
      </c>
      <c r="P14" s="580"/>
      <c r="Q14" s="286" t="s">
        <v>261</v>
      </c>
      <c r="R14" s="472" t="s">
        <v>325</v>
      </c>
      <c r="S14" s="472"/>
      <c r="T14" s="472" t="s">
        <v>475</v>
      </c>
      <c r="U14" s="472"/>
      <c r="V14" s="595"/>
      <c r="W14" s="523"/>
      <c r="Z14" s="2"/>
      <c r="AA14" s="2"/>
      <c r="AB14" s="2"/>
      <c r="AC14" s="2"/>
      <c r="AD14" s="2"/>
      <c r="AE14" s="2"/>
    </row>
    <row r="15" spans="1:31" ht="39" customHeight="1">
      <c r="A15" s="518"/>
      <c r="B15" s="518"/>
      <c r="C15" s="521"/>
      <c r="D15" s="521"/>
      <c r="E15" s="521"/>
      <c r="F15" s="604"/>
      <c r="G15" s="605"/>
      <c r="H15" s="524"/>
      <c r="I15" s="287" t="s">
        <v>301</v>
      </c>
      <c r="J15" s="287" t="s">
        <v>302</v>
      </c>
      <c r="K15" s="288" t="s">
        <v>301</v>
      </c>
      <c r="L15" s="288" t="s">
        <v>302</v>
      </c>
      <c r="M15" s="288" t="s">
        <v>301</v>
      </c>
      <c r="N15" s="288" t="s">
        <v>302</v>
      </c>
      <c r="O15" s="289" t="s">
        <v>352</v>
      </c>
      <c r="P15" s="289" t="s">
        <v>302</v>
      </c>
      <c r="Q15" s="286"/>
      <c r="R15" s="288" t="s">
        <v>301</v>
      </c>
      <c r="S15" s="288" t="s">
        <v>302</v>
      </c>
      <c r="T15" s="290" t="s">
        <v>301</v>
      </c>
      <c r="U15" s="290" t="s">
        <v>302</v>
      </c>
      <c r="V15" s="596"/>
      <c r="W15" s="524"/>
      <c r="Z15" s="2"/>
      <c r="AA15" s="2"/>
      <c r="AB15" s="2"/>
      <c r="AC15" s="2"/>
      <c r="AD15" s="2"/>
      <c r="AE15" s="2"/>
    </row>
    <row r="16" spans="1:30" ht="30.75" customHeight="1">
      <c r="A16" s="188">
        <v>1</v>
      </c>
      <c r="B16" s="189"/>
      <c r="C16" s="189" t="s">
        <v>30</v>
      </c>
      <c r="D16" s="189"/>
      <c r="E16" s="189" t="s">
        <v>70</v>
      </c>
      <c r="F16" s="579" t="s">
        <v>32</v>
      </c>
      <c r="G16" s="579"/>
      <c r="H16" s="189" t="s">
        <v>29</v>
      </c>
      <c r="I16" s="296"/>
      <c r="J16" s="297"/>
      <c r="K16" s="297"/>
      <c r="L16" s="297"/>
      <c r="M16" s="297"/>
      <c r="N16" s="297"/>
      <c r="O16" s="297"/>
      <c r="P16" s="297"/>
      <c r="Q16" s="297"/>
      <c r="R16" s="297"/>
      <c r="S16" s="297"/>
      <c r="T16" s="297"/>
      <c r="U16" s="297"/>
      <c r="V16" s="297"/>
      <c r="W16" s="298"/>
      <c r="X16" s="61"/>
      <c r="Y16" s="61"/>
      <c r="Z16" s="2"/>
      <c r="AA16" s="2"/>
      <c r="AB16" s="2"/>
      <c r="AC16" s="2"/>
      <c r="AD16" s="2"/>
    </row>
    <row r="17" spans="1:30" ht="30.75" customHeight="1">
      <c r="A17" s="187">
        <v>1.1</v>
      </c>
      <c r="B17" s="186"/>
      <c r="C17" s="186" t="s">
        <v>30</v>
      </c>
      <c r="D17" s="186"/>
      <c r="E17" s="186"/>
      <c r="F17" s="535" t="s">
        <v>43</v>
      </c>
      <c r="G17" s="535"/>
      <c r="H17" s="186" t="s">
        <v>26</v>
      </c>
      <c r="I17" s="299"/>
      <c r="J17" s="300"/>
      <c r="K17" s="300"/>
      <c r="L17" s="300"/>
      <c r="M17" s="300"/>
      <c r="N17" s="300"/>
      <c r="O17" s="300"/>
      <c r="P17" s="300"/>
      <c r="Q17" s="300"/>
      <c r="R17" s="300"/>
      <c r="S17" s="300"/>
      <c r="T17" s="300"/>
      <c r="U17" s="300"/>
      <c r="V17" s="300"/>
      <c r="W17" s="301"/>
      <c r="X17" s="61"/>
      <c r="Y17" s="61"/>
      <c r="Z17" s="2"/>
      <c r="AA17" s="2"/>
      <c r="AB17" s="2"/>
      <c r="AC17" s="2"/>
      <c r="AD17" s="2"/>
    </row>
    <row r="18" spans="1:30" ht="75" customHeight="1">
      <c r="A18" s="198" t="s">
        <v>49</v>
      </c>
      <c r="B18" s="198" t="s">
        <v>2</v>
      </c>
      <c r="C18" s="198" t="s">
        <v>30</v>
      </c>
      <c r="D18" s="199" t="s">
        <v>60</v>
      </c>
      <c r="E18" s="198"/>
      <c r="F18" s="577" t="s">
        <v>35</v>
      </c>
      <c r="G18" s="578"/>
      <c r="H18" s="202" t="s">
        <v>33</v>
      </c>
      <c r="I18" s="203">
        <v>4</v>
      </c>
      <c r="J18" s="203">
        <v>4</v>
      </c>
      <c r="K18" s="204">
        <v>0</v>
      </c>
      <c r="L18" s="204"/>
      <c r="M18" s="203">
        <v>0</v>
      </c>
      <c r="N18" s="203"/>
      <c r="O18" s="204">
        <v>0</v>
      </c>
      <c r="P18" s="204"/>
      <c r="Q18" s="203">
        <v>0</v>
      </c>
      <c r="R18" s="204">
        <f>(I18*$C$2)+K18</f>
        <v>400</v>
      </c>
      <c r="S18" s="204">
        <f>(J18*$C$2)+L18</f>
        <v>400</v>
      </c>
      <c r="T18" s="202">
        <f>I18+(M18*5)</f>
        <v>4</v>
      </c>
      <c r="U18" s="202">
        <f aca="true" t="shared" si="0" ref="T18:U22">J18+(N18*5)</f>
        <v>4</v>
      </c>
      <c r="V18" s="205" t="s">
        <v>347</v>
      </c>
      <c r="W18" s="206" t="s">
        <v>472</v>
      </c>
      <c r="Y18" s="2"/>
      <c r="Z18" s="2"/>
      <c r="AA18" s="2"/>
      <c r="AB18" s="2"/>
      <c r="AC18" s="2"/>
      <c r="AD18" s="2"/>
    </row>
    <row r="19" spans="1:30" ht="75" customHeight="1">
      <c r="A19" s="198" t="s">
        <v>50</v>
      </c>
      <c r="B19" s="198" t="s">
        <v>41</v>
      </c>
      <c r="C19" s="198" t="s">
        <v>30</v>
      </c>
      <c r="D19" s="199" t="s">
        <v>60</v>
      </c>
      <c r="E19" s="198"/>
      <c r="F19" s="577" t="s">
        <v>37</v>
      </c>
      <c r="G19" s="578"/>
      <c r="H19" s="202" t="s">
        <v>34</v>
      </c>
      <c r="I19" s="203">
        <v>0</v>
      </c>
      <c r="J19" s="203">
        <v>0</v>
      </c>
      <c r="K19" s="204">
        <v>0</v>
      </c>
      <c r="L19" s="204"/>
      <c r="M19" s="203">
        <v>0</v>
      </c>
      <c r="N19" s="203"/>
      <c r="O19" s="204">
        <v>0</v>
      </c>
      <c r="P19" s="204"/>
      <c r="Q19" s="203">
        <v>0</v>
      </c>
      <c r="R19" s="204">
        <f aca="true" t="shared" si="1" ref="R19:S24">(I19*$C$2)+K19</f>
        <v>0</v>
      </c>
      <c r="S19" s="204">
        <f>(J19*$C$2)+L19</f>
        <v>0</v>
      </c>
      <c r="T19" s="202">
        <f t="shared" si="0"/>
        <v>0</v>
      </c>
      <c r="U19" s="202">
        <f t="shared" si="0"/>
        <v>0</v>
      </c>
      <c r="V19" s="207" t="s">
        <v>346</v>
      </c>
      <c r="W19" s="206" t="s">
        <v>472</v>
      </c>
      <c r="Y19" s="2"/>
      <c r="Z19" s="2"/>
      <c r="AA19" s="2"/>
      <c r="AB19" s="2"/>
      <c r="AC19" s="2"/>
      <c r="AD19" s="2"/>
    </row>
    <row r="20" spans="1:30" ht="75" customHeight="1">
      <c r="A20" s="198" t="s">
        <v>51</v>
      </c>
      <c r="B20" s="198" t="s">
        <v>41</v>
      </c>
      <c r="C20" s="198" t="s">
        <v>30</v>
      </c>
      <c r="D20" s="199" t="s">
        <v>60</v>
      </c>
      <c r="E20" s="198"/>
      <c r="F20" s="577" t="s">
        <v>223</v>
      </c>
      <c r="G20" s="578"/>
      <c r="H20" s="202" t="s">
        <v>34</v>
      </c>
      <c r="I20" s="337">
        <v>0</v>
      </c>
      <c r="J20" s="337">
        <v>16</v>
      </c>
      <c r="K20" s="204">
        <v>0</v>
      </c>
      <c r="L20" s="204"/>
      <c r="M20" s="203">
        <v>0</v>
      </c>
      <c r="N20" s="203"/>
      <c r="O20" s="204">
        <v>0</v>
      </c>
      <c r="P20" s="204"/>
      <c r="Q20" s="203">
        <v>0</v>
      </c>
      <c r="R20" s="204">
        <f t="shared" si="1"/>
        <v>0</v>
      </c>
      <c r="S20" s="204">
        <f>(J20*$C$2)+L20</f>
        <v>1600</v>
      </c>
      <c r="T20" s="202">
        <f t="shared" si="0"/>
        <v>0</v>
      </c>
      <c r="U20" s="202">
        <f t="shared" si="0"/>
        <v>16</v>
      </c>
      <c r="V20" s="205" t="s">
        <v>519</v>
      </c>
      <c r="W20" s="206" t="s">
        <v>472</v>
      </c>
      <c r="Y20" s="2"/>
      <c r="Z20" s="2"/>
      <c r="AA20" s="2"/>
      <c r="AB20" s="2"/>
      <c r="AC20" s="2"/>
      <c r="AD20" s="2"/>
    </row>
    <row r="21" spans="1:30" ht="75" customHeight="1">
      <c r="A21" s="198" t="s">
        <v>52</v>
      </c>
      <c r="B21" s="198" t="s">
        <v>41</v>
      </c>
      <c r="C21" s="198" t="s">
        <v>30</v>
      </c>
      <c r="D21" s="199" t="s">
        <v>60</v>
      </c>
      <c r="E21" s="198"/>
      <c r="F21" s="577" t="s">
        <v>38</v>
      </c>
      <c r="G21" s="578"/>
      <c r="H21" s="202" t="s">
        <v>36</v>
      </c>
      <c r="I21" s="337">
        <v>0</v>
      </c>
      <c r="J21" s="337">
        <v>10</v>
      </c>
      <c r="K21" s="204">
        <v>0</v>
      </c>
      <c r="L21" s="204"/>
      <c r="M21" s="203">
        <v>0</v>
      </c>
      <c r="N21" s="203"/>
      <c r="O21" s="204">
        <v>0</v>
      </c>
      <c r="P21" s="204"/>
      <c r="Q21" s="203">
        <v>0</v>
      </c>
      <c r="R21" s="204">
        <f t="shared" si="1"/>
        <v>0</v>
      </c>
      <c r="S21" s="204">
        <f>(J21*$C$2)+L21</f>
        <v>1000</v>
      </c>
      <c r="T21" s="202">
        <f t="shared" si="0"/>
        <v>0</v>
      </c>
      <c r="U21" s="202">
        <f t="shared" si="0"/>
        <v>10</v>
      </c>
      <c r="V21" s="205" t="s">
        <v>348</v>
      </c>
      <c r="W21" s="206" t="s">
        <v>472</v>
      </c>
      <c r="Y21" s="2"/>
      <c r="Z21" s="2"/>
      <c r="AA21" s="2"/>
      <c r="AB21" s="2"/>
      <c r="AC21" s="2"/>
      <c r="AD21" s="2"/>
    </row>
    <row r="22" spans="1:30" ht="75" customHeight="1">
      <c r="A22" s="198" t="s">
        <v>55</v>
      </c>
      <c r="B22" s="198" t="s">
        <v>2</v>
      </c>
      <c r="C22" s="198" t="s">
        <v>30</v>
      </c>
      <c r="D22" s="199" t="s">
        <v>60</v>
      </c>
      <c r="E22" s="198"/>
      <c r="F22" s="577" t="s">
        <v>39</v>
      </c>
      <c r="G22" s="578"/>
      <c r="H22" s="202" t="s">
        <v>40</v>
      </c>
      <c r="I22" s="337">
        <v>2</v>
      </c>
      <c r="J22" s="337">
        <v>2</v>
      </c>
      <c r="K22" s="204">
        <v>0</v>
      </c>
      <c r="L22" s="204"/>
      <c r="M22" s="203">
        <v>0</v>
      </c>
      <c r="N22" s="203"/>
      <c r="O22" s="204">
        <v>0</v>
      </c>
      <c r="P22" s="204"/>
      <c r="Q22" s="203">
        <v>0</v>
      </c>
      <c r="R22" s="204">
        <f t="shared" si="1"/>
        <v>200</v>
      </c>
      <c r="S22" s="204">
        <f>(J22*$C$2)+L22</f>
        <v>200</v>
      </c>
      <c r="T22" s="202">
        <f t="shared" si="0"/>
        <v>2</v>
      </c>
      <c r="U22" s="202">
        <f t="shared" si="0"/>
        <v>2</v>
      </c>
      <c r="V22" s="205" t="s">
        <v>263</v>
      </c>
      <c r="W22" s="206" t="s">
        <v>472</v>
      </c>
      <c r="Y22" s="2"/>
      <c r="Z22" s="2"/>
      <c r="AA22" s="2"/>
      <c r="AB22" s="2"/>
      <c r="AC22" s="2"/>
      <c r="AD22" s="2"/>
    </row>
    <row r="23" spans="1:30" ht="75" customHeight="1">
      <c r="A23" s="187">
        <v>1.2</v>
      </c>
      <c r="B23" s="186"/>
      <c r="C23" s="186" t="s">
        <v>30</v>
      </c>
      <c r="D23" s="186"/>
      <c r="E23" s="186"/>
      <c r="F23" s="535" t="s">
        <v>42</v>
      </c>
      <c r="G23" s="535"/>
      <c r="H23" s="186" t="s">
        <v>27</v>
      </c>
      <c r="I23" s="195"/>
      <c r="J23" s="195"/>
      <c r="K23" s="196"/>
      <c r="L23" s="196"/>
      <c r="M23" s="196"/>
      <c r="N23" s="196"/>
      <c r="O23" s="196"/>
      <c r="P23" s="196"/>
      <c r="Q23" s="196"/>
      <c r="R23" s="196"/>
      <c r="S23" s="196"/>
      <c r="T23" s="196"/>
      <c r="U23" s="196"/>
      <c r="V23" s="197"/>
      <c r="W23" s="186"/>
      <c r="Y23" s="2"/>
      <c r="Z23" s="2"/>
      <c r="AA23" s="2"/>
      <c r="AB23" s="2"/>
      <c r="AC23" s="2"/>
      <c r="AD23" s="2"/>
    </row>
    <row r="24" spans="1:30" ht="75" customHeight="1">
      <c r="A24" s="198" t="s">
        <v>53</v>
      </c>
      <c r="B24" s="198" t="s">
        <v>2</v>
      </c>
      <c r="C24" s="198" t="s">
        <v>30</v>
      </c>
      <c r="D24" s="199" t="s">
        <v>60</v>
      </c>
      <c r="E24" s="198"/>
      <c r="F24" s="571" t="s">
        <v>45</v>
      </c>
      <c r="G24" s="572"/>
      <c r="H24" s="205" t="s">
        <v>44</v>
      </c>
      <c r="I24" s="203">
        <v>4</v>
      </c>
      <c r="J24" s="203">
        <v>4</v>
      </c>
      <c r="K24" s="204">
        <v>0</v>
      </c>
      <c r="L24" s="204"/>
      <c r="M24" s="203">
        <v>0</v>
      </c>
      <c r="N24" s="203"/>
      <c r="O24" s="204">
        <v>0</v>
      </c>
      <c r="P24" s="204"/>
      <c r="Q24" s="203">
        <v>0</v>
      </c>
      <c r="R24" s="204">
        <f t="shared" si="1"/>
        <v>400</v>
      </c>
      <c r="S24" s="204">
        <f t="shared" si="1"/>
        <v>400</v>
      </c>
      <c r="T24" s="202">
        <f>I24+(M24*5)</f>
        <v>4</v>
      </c>
      <c r="U24" s="202">
        <f>J24+(N24*5)</f>
        <v>4</v>
      </c>
      <c r="V24" s="205" t="s">
        <v>349</v>
      </c>
      <c r="W24" s="206" t="s">
        <v>472</v>
      </c>
      <c r="Y24" s="2"/>
      <c r="Z24" s="2"/>
      <c r="AA24" s="2"/>
      <c r="AB24" s="2"/>
      <c r="AC24" s="2"/>
      <c r="AD24" s="2"/>
    </row>
    <row r="25" spans="1:30" ht="75" customHeight="1">
      <c r="A25" s="198" t="s">
        <v>54</v>
      </c>
      <c r="B25" s="198" t="s">
        <v>41</v>
      </c>
      <c r="C25" s="198" t="s">
        <v>30</v>
      </c>
      <c r="D25" s="199" t="s">
        <v>60</v>
      </c>
      <c r="E25" s="198"/>
      <c r="F25" s="571" t="s">
        <v>47</v>
      </c>
      <c r="G25" s="572"/>
      <c r="H25" s="205" t="s">
        <v>46</v>
      </c>
      <c r="I25" s="203">
        <v>0</v>
      </c>
      <c r="J25" s="203">
        <v>4</v>
      </c>
      <c r="K25" s="204">
        <v>0</v>
      </c>
      <c r="L25" s="204"/>
      <c r="M25" s="203">
        <v>0</v>
      </c>
      <c r="N25" s="203"/>
      <c r="O25" s="204">
        <v>0</v>
      </c>
      <c r="P25" s="204"/>
      <c r="Q25" s="203">
        <v>0</v>
      </c>
      <c r="R25" s="204">
        <f>(I25*$C$2)+K25</f>
        <v>0</v>
      </c>
      <c r="S25" s="204">
        <f>(J25*$C$2)+L25</f>
        <v>400</v>
      </c>
      <c r="T25" s="202">
        <f>I25+(M25*5)</f>
        <v>0</v>
      </c>
      <c r="U25" s="202">
        <f>J25+(N25*5)</f>
        <v>4</v>
      </c>
      <c r="V25" s="205" t="s">
        <v>350</v>
      </c>
      <c r="W25" s="206" t="s">
        <v>472</v>
      </c>
      <c r="Y25" s="2"/>
      <c r="Z25" s="2"/>
      <c r="AA25" s="2"/>
      <c r="AB25" s="2"/>
      <c r="AC25" s="2"/>
      <c r="AD25" s="2"/>
    </row>
    <row r="26" spans="1:30" ht="75" customHeight="1">
      <c r="A26" s="198" t="s">
        <v>56</v>
      </c>
      <c r="B26" s="198" t="s">
        <v>41</v>
      </c>
      <c r="C26" s="198"/>
      <c r="D26" s="209" t="s">
        <v>61</v>
      </c>
      <c r="E26" s="198"/>
      <c r="F26" s="573" t="s">
        <v>48</v>
      </c>
      <c r="G26" s="574"/>
      <c r="H26" s="205" t="s">
        <v>46</v>
      </c>
      <c r="I26" s="203">
        <v>0</v>
      </c>
      <c r="J26" s="203">
        <v>0</v>
      </c>
      <c r="K26" s="204">
        <v>0</v>
      </c>
      <c r="L26" s="204"/>
      <c r="M26" s="203">
        <v>0</v>
      </c>
      <c r="N26" s="203">
        <v>16</v>
      </c>
      <c r="O26" s="204">
        <v>0</v>
      </c>
      <c r="P26" s="204"/>
      <c r="Q26" s="203">
        <v>1</v>
      </c>
      <c r="R26" s="214">
        <f>(M26*$C$2)</f>
        <v>0</v>
      </c>
      <c r="S26" s="214">
        <f>(N26*$C$2)</f>
        <v>1600</v>
      </c>
      <c r="T26" s="209">
        <f>I26+(M26*5)</f>
        <v>0</v>
      </c>
      <c r="U26" s="209">
        <f>J26+(N26*Q26)</f>
        <v>16</v>
      </c>
      <c r="V26" s="207" t="s">
        <v>351</v>
      </c>
      <c r="W26" s="206" t="s">
        <v>472</v>
      </c>
      <c r="X26" s="7" t="s">
        <v>569</v>
      </c>
      <c r="Y26" s="2"/>
      <c r="Z26" s="2"/>
      <c r="AA26" s="2"/>
      <c r="AB26" s="2"/>
      <c r="AC26" s="2"/>
      <c r="AD26" s="2"/>
    </row>
    <row r="27" spans="1:23" ht="75" customHeight="1">
      <c r="A27" s="187">
        <v>1.3</v>
      </c>
      <c r="B27" s="186"/>
      <c r="C27" s="186" t="s">
        <v>30</v>
      </c>
      <c r="D27" s="186"/>
      <c r="E27" s="186" t="s">
        <v>70</v>
      </c>
      <c r="F27" s="575" t="s">
        <v>177</v>
      </c>
      <c r="G27" s="576"/>
      <c r="H27" s="186"/>
      <c r="I27" s="195"/>
      <c r="J27" s="195"/>
      <c r="K27" s="196"/>
      <c r="L27" s="196"/>
      <c r="M27" s="196"/>
      <c r="N27" s="196"/>
      <c r="O27" s="196"/>
      <c r="P27" s="196"/>
      <c r="Q27" s="196"/>
      <c r="R27" s="196"/>
      <c r="S27" s="196"/>
      <c r="T27" s="196"/>
      <c r="U27" s="196"/>
      <c r="V27" s="197"/>
      <c r="W27" s="186"/>
    </row>
    <row r="28" spans="1:23" ht="75" customHeight="1">
      <c r="A28" s="198" t="s">
        <v>182</v>
      </c>
      <c r="B28" s="202" t="s">
        <v>2</v>
      </c>
      <c r="C28" s="202" t="s">
        <v>30</v>
      </c>
      <c r="D28" s="201" t="s">
        <v>60</v>
      </c>
      <c r="E28" s="202"/>
      <c r="F28" s="566" t="s">
        <v>178</v>
      </c>
      <c r="G28" s="567"/>
      <c r="H28" s="211" t="s">
        <v>179</v>
      </c>
      <c r="I28" s="582">
        <v>40</v>
      </c>
      <c r="J28" s="584">
        <v>72</v>
      </c>
      <c r="K28" s="583">
        <v>0</v>
      </c>
      <c r="L28" s="583"/>
      <c r="M28" s="584">
        <v>0</v>
      </c>
      <c r="N28" s="583"/>
      <c r="O28" s="584">
        <v>0</v>
      </c>
      <c r="P28" s="584"/>
      <c r="Q28" s="584">
        <v>0</v>
      </c>
      <c r="R28" s="585">
        <f>I28*$C$2</f>
        <v>4000</v>
      </c>
      <c r="S28" s="585">
        <f>J28*$C$2</f>
        <v>7200</v>
      </c>
      <c r="T28" s="589">
        <f>I28+(M28*5)</f>
        <v>40</v>
      </c>
      <c r="U28" s="589">
        <f>J28+(N28*5)</f>
        <v>72</v>
      </c>
      <c r="V28" s="590" t="s">
        <v>462</v>
      </c>
      <c r="W28" s="588" t="s">
        <v>472</v>
      </c>
    </row>
    <row r="29" spans="1:23" ht="75" customHeight="1">
      <c r="A29" s="198" t="s">
        <v>183</v>
      </c>
      <c r="B29" s="202" t="s">
        <v>2</v>
      </c>
      <c r="C29" s="202" t="s">
        <v>30</v>
      </c>
      <c r="D29" s="201" t="s">
        <v>60</v>
      </c>
      <c r="E29" s="202"/>
      <c r="F29" s="577" t="s">
        <v>180</v>
      </c>
      <c r="G29" s="578"/>
      <c r="H29" s="212" t="s">
        <v>179</v>
      </c>
      <c r="I29" s="582"/>
      <c r="J29" s="584"/>
      <c r="K29" s="583"/>
      <c r="L29" s="583"/>
      <c r="M29" s="584"/>
      <c r="N29" s="583"/>
      <c r="O29" s="584"/>
      <c r="P29" s="584"/>
      <c r="Q29" s="584"/>
      <c r="R29" s="586"/>
      <c r="S29" s="586"/>
      <c r="T29" s="589"/>
      <c r="U29" s="589"/>
      <c r="V29" s="590"/>
      <c r="W29" s="588"/>
    </row>
    <row r="30" spans="1:23" ht="75" customHeight="1">
      <c r="A30" s="198" t="s">
        <v>184</v>
      </c>
      <c r="B30" s="202" t="s">
        <v>86</v>
      </c>
      <c r="C30" s="202" t="s">
        <v>30</v>
      </c>
      <c r="D30" s="201" t="s">
        <v>60</v>
      </c>
      <c r="E30" s="202"/>
      <c r="F30" s="566" t="s">
        <v>181</v>
      </c>
      <c r="G30" s="567"/>
      <c r="H30" s="212" t="s">
        <v>179</v>
      </c>
      <c r="I30" s="582"/>
      <c r="J30" s="584"/>
      <c r="K30" s="583"/>
      <c r="L30" s="583"/>
      <c r="M30" s="584"/>
      <c r="N30" s="583"/>
      <c r="O30" s="584"/>
      <c r="P30" s="584"/>
      <c r="Q30" s="584"/>
      <c r="R30" s="587"/>
      <c r="S30" s="587"/>
      <c r="T30" s="589"/>
      <c r="U30" s="589"/>
      <c r="V30" s="590"/>
      <c r="W30" s="207" t="s">
        <v>264</v>
      </c>
    </row>
    <row r="31" spans="1:23" ht="54" customHeight="1">
      <c r="A31" s="215"/>
      <c r="B31" s="215"/>
      <c r="C31" s="215"/>
      <c r="D31" s="216"/>
      <c r="E31" s="215"/>
      <c r="F31" s="215"/>
      <c r="G31" s="215"/>
      <c r="H31" s="217"/>
      <c r="I31" s="218"/>
      <c r="J31" s="218"/>
      <c r="K31" s="219"/>
      <c r="L31" s="219"/>
      <c r="M31" s="219"/>
      <c r="N31" s="219"/>
      <c r="O31" s="219"/>
      <c r="P31" s="219"/>
      <c r="Q31" s="220" t="s">
        <v>487</v>
      </c>
      <c r="R31" s="221">
        <f>ROUND((SUM(R16:R30)-R26),3-(INT(LOG((SUM(R16:R30)-R26))+1)))</f>
        <v>5000</v>
      </c>
      <c r="S31" s="342">
        <f>ROUND((SUM(S16:S30)-S26),3-(INT(LOG((SUM(S16:S30)-S26))+1)))</f>
        <v>11200</v>
      </c>
      <c r="T31" s="343">
        <f>ROUND((SUM(T16:T30)-T26),3-(INT(LOG((SUM(T16:T30)-T26))+1)))</f>
        <v>50</v>
      </c>
      <c r="U31" s="343">
        <f>ROUND((SUM(U16:U30)-U26),3-(INT(LOG((SUM(U16:U30)-U26))+1)))</f>
        <v>112</v>
      </c>
      <c r="V31" s="222"/>
      <c r="W31" s="215"/>
    </row>
    <row r="32" spans="1:23" ht="75" customHeight="1">
      <c r="A32" s="58"/>
      <c r="B32" s="58"/>
      <c r="C32" s="58"/>
      <c r="D32" s="44"/>
      <c r="E32" s="58"/>
      <c r="F32" s="58"/>
      <c r="G32" s="58"/>
      <c r="H32" s="58"/>
      <c r="I32" s="17"/>
      <c r="J32" s="17"/>
      <c r="K32" s="52"/>
      <c r="L32" s="52"/>
      <c r="M32" s="52"/>
      <c r="N32" s="52"/>
      <c r="O32" s="52"/>
      <c r="P32" s="52"/>
      <c r="Q32" s="52"/>
      <c r="R32" s="52"/>
      <c r="S32" s="52"/>
      <c r="T32" s="58"/>
      <c r="U32" s="58"/>
      <c r="V32" s="59"/>
      <c r="W32" s="58"/>
    </row>
    <row r="33" spans="2:22" ht="13.5">
      <c r="B33"/>
      <c r="C33"/>
      <c r="D33" s="3"/>
      <c r="E33"/>
      <c r="F33"/>
      <c r="I33"/>
      <c r="J33"/>
      <c r="K33"/>
      <c r="L33"/>
      <c r="M33"/>
      <c r="N33"/>
      <c r="O33"/>
      <c r="P33"/>
      <c r="Q33"/>
      <c r="R33"/>
      <c r="S33"/>
      <c r="V33"/>
    </row>
    <row r="34" spans="2:22" ht="13.5">
      <c r="B34"/>
      <c r="C34"/>
      <c r="D34" s="11"/>
      <c r="E34"/>
      <c r="F34"/>
      <c r="I34"/>
      <c r="J34"/>
      <c r="K34"/>
      <c r="L34"/>
      <c r="M34"/>
      <c r="N34"/>
      <c r="O34"/>
      <c r="P34"/>
      <c r="Q34"/>
      <c r="R34"/>
      <c r="S34"/>
      <c r="V34"/>
    </row>
    <row r="35" spans="2:22" ht="13.5">
      <c r="B35"/>
      <c r="C35"/>
      <c r="D35" s="11"/>
      <c r="E35"/>
      <c r="F35"/>
      <c r="I35"/>
      <c r="J35"/>
      <c r="K35"/>
      <c r="L35"/>
      <c r="M35"/>
      <c r="N35"/>
      <c r="O35"/>
      <c r="P35"/>
      <c r="Q35"/>
      <c r="R35"/>
      <c r="S35"/>
      <c r="V35"/>
    </row>
    <row r="36" spans="2:22" ht="13.5">
      <c r="B36"/>
      <c r="C36"/>
      <c r="D36" s="11"/>
      <c r="E36"/>
      <c r="F36"/>
      <c r="I36"/>
      <c r="J36"/>
      <c r="K36"/>
      <c r="L36"/>
      <c r="M36"/>
      <c r="N36"/>
      <c r="O36"/>
      <c r="P36"/>
      <c r="Q36"/>
      <c r="R36"/>
      <c r="S36"/>
      <c r="V36"/>
    </row>
    <row r="37" spans="2:22" ht="13.5">
      <c r="B37"/>
      <c r="C37"/>
      <c r="D37" s="11"/>
      <c r="E37"/>
      <c r="F37"/>
      <c r="I37"/>
      <c r="J37"/>
      <c r="K37"/>
      <c r="L37"/>
      <c r="M37"/>
      <c r="N37"/>
      <c r="O37"/>
      <c r="P37"/>
      <c r="Q37"/>
      <c r="R37"/>
      <c r="S37"/>
      <c r="V37"/>
    </row>
    <row r="38" spans="2:22" ht="13.5">
      <c r="B38"/>
      <c r="C38"/>
      <c r="D38" s="11"/>
      <c r="E38"/>
      <c r="F38"/>
      <c r="I38"/>
      <c r="J38"/>
      <c r="K38"/>
      <c r="L38"/>
      <c r="M38"/>
      <c r="N38"/>
      <c r="O38"/>
      <c r="P38"/>
      <c r="Q38"/>
      <c r="R38"/>
      <c r="S38"/>
      <c r="V38"/>
    </row>
    <row r="39" spans="2:22" ht="13.5">
      <c r="B39"/>
      <c r="C39"/>
      <c r="D39" s="3"/>
      <c r="E39"/>
      <c r="F39"/>
      <c r="I39"/>
      <c r="J39"/>
      <c r="K39"/>
      <c r="L39"/>
      <c r="M39"/>
      <c r="N39"/>
      <c r="O39"/>
      <c r="P39"/>
      <c r="Q39"/>
      <c r="R39"/>
      <c r="S39"/>
      <c r="V39"/>
    </row>
    <row r="40" spans="2:22" ht="13.5">
      <c r="B40"/>
      <c r="C40"/>
      <c r="D40" s="3"/>
      <c r="E40"/>
      <c r="F40"/>
      <c r="I40"/>
      <c r="J40"/>
      <c r="K40"/>
      <c r="L40"/>
      <c r="M40"/>
      <c r="N40"/>
      <c r="O40"/>
      <c r="P40"/>
      <c r="Q40"/>
      <c r="R40"/>
      <c r="S40"/>
      <c r="V40"/>
    </row>
    <row r="41" spans="2:22" ht="13.5">
      <c r="B41"/>
      <c r="C41"/>
      <c r="D41" s="3"/>
      <c r="E41"/>
      <c r="F41"/>
      <c r="I41"/>
      <c r="J41"/>
      <c r="K41"/>
      <c r="L41"/>
      <c r="M41"/>
      <c r="N41"/>
      <c r="O41"/>
      <c r="P41"/>
      <c r="Q41"/>
      <c r="R41"/>
      <c r="S41"/>
      <c r="V41"/>
    </row>
    <row r="42" spans="2:22" ht="13.5">
      <c r="B42"/>
      <c r="C42"/>
      <c r="D42" s="3"/>
      <c r="E42"/>
      <c r="F42"/>
      <c r="I42"/>
      <c r="J42"/>
      <c r="K42"/>
      <c r="L42"/>
      <c r="M42"/>
      <c r="N42"/>
      <c r="O42"/>
      <c r="P42"/>
      <c r="Q42"/>
      <c r="R42"/>
      <c r="S42"/>
      <c r="V42"/>
    </row>
    <row r="43" spans="2:22" ht="13.5">
      <c r="B43"/>
      <c r="C43"/>
      <c r="D43" s="8"/>
      <c r="E43"/>
      <c r="F43"/>
      <c r="I43"/>
      <c r="J43"/>
      <c r="K43"/>
      <c r="L43"/>
      <c r="M43"/>
      <c r="N43"/>
      <c r="O43"/>
      <c r="P43"/>
      <c r="Q43"/>
      <c r="R43"/>
      <c r="S43"/>
      <c r="V43"/>
    </row>
    <row r="44" spans="2:22" ht="13.5">
      <c r="B44"/>
      <c r="C44"/>
      <c r="D44" s="8"/>
      <c r="E44"/>
      <c r="F44"/>
      <c r="I44"/>
      <c r="J44"/>
      <c r="K44"/>
      <c r="L44"/>
      <c r="M44"/>
      <c r="N44"/>
      <c r="O44"/>
      <c r="P44"/>
      <c r="Q44"/>
      <c r="R44"/>
      <c r="S44"/>
      <c r="V44"/>
    </row>
    <row r="45" spans="2:22" ht="13.5">
      <c r="B45"/>
      <c r="C45"/>
      <c r="D45" s="3"/>
      <c r="E45"/>
      <c r="F45"/>
      <c r="I45"/>
      <c r="J45"/>
      <c r="K45"/>
      <c r="L45"/>
      <c r="M45"/>
      <c r="N45"/>
      <c r="O45"/>
      <c r="P45"/>
      <c r="Q45"/>
      <c r="R45"/>
      <c r="S45"/>
      <c r="V45"/>
    </row>
    <row r="46" spans="2:22" ht="13.5">
      <c r="B46"/>
      <c r="C46"/>
      <c r="D46" s="3"/>
      <c r="E46"/>
      <c r="F46"/>
      <c r="I46"/>
      <c r="J46"/>
      <c r="K46"/>
      <c r="L46"/>
      <c r="M46"/>
      <c r="N46"/>
      <c r="O46"/>
      <c r="P46"/>
      <c r="Q46"/>
      <c r="R46"/>
      <c r="S46"/>
      <c r="V46"/>
    </row>
    <row r="47" spans="2:22" ht="13.5">
      <c r="B47"/>
      <c r="C47"/>
      <c r="D47" s="3"/>
      <c r="E47"/>
      <c r="F47"/>
      <c r="I47"/>
      <c r="J47"/>
      <c r="K47"/>
      <c r="L47"/>
      <c r="M47"/>
      <c r="N47"/>
      <c r="O47"/>
      <c r="P47"/>
      <c r="Q47"/>
      <c r="R47"/>
      <c r="S47"/>
      <c r="V47"/>
    </row>
    <row r="48" spans="2:22" ht="13.5">
      <c r="B48"/>
      <c r="C48"/>
      <c r="D48" s="3"/>
      <c r="E48"/>
      <c r="F48"/>
      <c r="I48"/>
      <c r="J48"/>
      <c r="K48"/>
      <c r="L48"/>
      <c r="M48"/>
      <c r="N48"/>
      <c r="O48"/>
      <c r="P48"/>
      <c r="Q48"/>
      <c r="R48"/>
      <c r="S48"/>
      <c r="V48"/>
    </row>
    <row r="49" spans="2:22" ht="13.5">
      <c r="B49"/>
      <c r="C49"/>
      <c r="D49" s="3"/>
      <c r="E49"/>
      <c r="F49"/>
      <c r="I49"/>
      <c r="J49"/>
      <c r="K49"/>
      <c r="L49"/>
      <c r="M49"/>
      <c r="N49"/>
      <c r="O49"/>
      <c r="P49"/>
      <c r="Q49"/>
      <c r="R49"/>
      <c r="S49"/>
      <c r="V49"/>
    </row>
    <row r="50" spans="2:22" ht="13.5">
      <c r="B50"/>
      <c r="C50"/>
      <c r="D50" s="3"/>
      <c r="E50"/>
      <c r="F50"/>
      <c r="I50"/>
      <c r="J50"/>
      <c r="K50"/>
      <c r="L50"/>
      <c r="M50"/>
      <c r="N50"/>
      <c r="O50"/>
      <c r="P50"/>
      <c r="Q50"/>
      <c r="R50"/>
      <c r="S50"/>
      <c r="V50"/>
    </row>
    <row r="51" spans="2:22" ht="13.5">
      <c r="B51"/>
      <c r="C51"/>
      <c r="D51" s="3"/>
      <c r="E51"/>
      <c r="F51"/>
      <c r="I51"/>
      <c r="J51"/>
      <c r="K51"/>
      <c r="L51"/>
      <c r="M51"/>
      <c r="N51"/>
      <c r="O51"/>
      <c r="P51"/>
      <c r="Q51"/>
      <c r="R51"/>
      <c r="S51"/>
      <c r="V51"/>
    </row>
    <row r="52" spans="2:22" ht="13.5">
      <c r="B52"/>
      <c r="C52"/>
      <c r="D52" s="2"/>
      <c r="E52"/>
      <c r="F52"/>
      <c r="I52"/>
      <c r="J52"/>
      <c r="K52"/>
      <c r="L52"/>
      <c r="M52"/>
      <c r="N52"/>
      <c r="O52"/>
      <c r="P52"/>
      <c r="Q52"/>
      <c r="R52"/>
      <c r="S52"/>
      <c r="V52"/>
    </row>
  </sheetData>
  <sheetProtection/>
  <mergeCells count="53">
    <mergeCell ref="R13:U13"/>
    <mergeCell ref="V13:V15"/>
    <mergeCell ref="W13:W15"/>
    <mergeCell ref="H14:H15"/>
    <mergeCell ref="A13:A15"/>
    <mergeCell ref="B13:B15"/>
    <mergeCell ref="C13:C15"/>
    <mergeCell ref="D13:D15"/>
    <mergeCell ref="E13:E15"/>
    <mergeCell ref="F13:G15"/>
    <mergeCell ref="W28:W29"/>
    <mergeCell ref="T14:U14"/>
    <mergeCell ref="T28:T30"/>
    <mergeCell ref="U28:U30"/>
    <mergeCell ref="N28:N30"/>
    <mergeCell ref="L28:L30"/>
    <mergeCell ref="P28:P30"/>
    <mergeCell ref="V28:V30"/>
    <mergeCell ref="S28:S30"/>
    <mergeCell ref="R14:S14"/>
    <mergeCell ref="I28:I30"/>
    <mergeCell ref="K28:K30"/>
    <mergeCell ref="M28:M30"/>
    <mergeCell ref="O28:O30"/>
    <mergeCell ref="Q28:Q30"/>
    <mergeCell ref="R28:R30"/>
    <mergeCell ref="J28:J30"/>
    <mergeCell ref="A1:C1"/>
    <mergeCell ref="A2:B2"/>
    <mergeCell ref="B4:C4"/>
    <mergeCell ref="D4:E4"/>
    <mergeCell ref="O14:P14"/>
    <mergeCell ref="K14:L14"/>
    <mergeCell ref="M14:N14"/>
    <mergeCell ref="I14:J14"/>
    <mergeCell ref="M13:Q13"/>
    <mergeCell ref="I13:L13"/>
    <mergeCell ref="F23:G23"/>
    <mergeCell ref="F18:G18"/>
    <mergeCell ref="F19:G19"/>
    <mergeCell ref="F20:G20"/>
    <mergeCell ref="F21:G21"/>
    <mergeCell ref="F22:G22"/>
    <mergeCell ref="F30:G30"/>
    <mergeCell ref="A10:E10"/>
    <mergeCell ref="F24:G24"/>
    <mergeCell ref="F25:G25"/>
    <mergeCell ref="F26:G26"/>
    <mergeCell ref="F27:G27"/>
    <mergeCell ref="F28:G28"/>
    <mergeCell ref="F29:G29"/>
    <mergeCell ref="F16:G16"/>
    <mergeCell ref="F17:G17"/>
  </mergeCells>
  <printOptions/>
  <pageMargins left="0.7" right="0.7" top="0.75" bottom="0.75" header="0.3" footer="0.3"/>
  <pageSetup fitToHeight="1" fitToWidth="1" horizontalDpi="600" verticalDpi="600" orientation="landscape" scale="48"/>
</worksheet>
</file>

<file path=xl/worksheets/sheet6.xml><?xml version="1.0" encoding="utf-8"?>
<worksheet xmlns="http://schemas.openxmlformats.org/spreadsheetml/2006/main" xmlns:r="http://schemas.openxmlformats.org/officeDocument/2006/relationships">
  <dimension ref="A1:W83"/>
  <sheetViews>
    <sheetView zoomScale="85" zoomScaleNormal="85" workbookViewId="0" topLeftCell="A1">
      <pane xSplit="5" ySplit="14" topLeftCell="F15" activePane="bottomRight" state="frozen"/>
      <selection pane="topLeft" activeCell="G23" sqref="G23"/>
      <selection pane="topRight" activeCell="G23" sqref="G23"/>
      <selection pane="bottomLeft" activeCell="G23" sqref="G23"/>
      <selection pane="bottomRight" activeCell="B8" sqref="B8"/>
    </sheetView>
  </sheetViews>
  <sheetFormatPr defaultColWidth="8.8515625" defaultRowHeight="15"/>
  <cols>
    <col min="1" max="1" width="10.421875" style="0" bestFit="1" customWidth="1"/>
    <col min="2" max="3" width="10.421875" style="1" customWidth="1"/>
    <col min="4" max="4" width="12.28125" style="0" customWidth="1"/>
    <col min="5" max="5" width="11.00390625" style="1" customWidth="1"/>
    <col min="6" max="6" width="5.7109375" style="1" customWidth="1"/>
    <col min="7" max="7" width="94.8515625" style="0" customWidth="1"/>
    <col min="8" max="8" width="16.140625" style="0" customWidth="1"/>
    <col min="9" max="10" width="10.7109375" style="21" customWidth="1"/>
    <col min="11" max="21" width="10.7109375" style="24" customWidth="1"/>
    <col min="22" max="22" width="57.421875" style="7" customWidth="1"/>
    <col min="23" max="23" width="36.8515625" style="0" customWidth="1"/>
  </cols>
  <sheetData>
    <row r="1" spans="7:10" ht="13.5">
      <c r="G1" s="26"/>
      <c r="H1" s="39"/>
      <c r="I1" s="40"/>
      <c r="J1" s="40"/>
    </row>
    <row r="2" spans="1:22" s="26" customFormat="1" ht="30" customHeight="1">
      <c r="A2" s="483" t="s">
        <v>480</v>
      </c>
      <c r="B2" s="466"/>
      <c r="C2" s="467"/>
      <c r="D2" s="45"/>
      <c r="E2" s="45"/>
      <c r="H2" s="62"/>
      <c r="I2" s="63"/>
      <c r="J2" s="63"/>
      <c r="K2" s="25"/>
      <c r="L2" s="25"/>
      <c r="M2" s="25"/>
      <c r="N2" s="25"/>
      <c r="O2" s="25"/>
      <c r="P2" s="25"/>
      <c r="Q2" s="25"/>
      <c r="R2" s="25"/>
      <c r="S2" s="25"/>
      <c r="T2"/>
      <c r="U2"/>
      <c r="V2" s="64"/>
    </row>
    <row r="3" spans="1:22" s="26" customFormat="1" ht="30" customHeight="1">
      <c r="A3" s="486" t="s">
        <v>344</v>
      </c>
      <c r="B3" s="487"/>
      <c r="C3" s="117">
        <f>'MS4 Stats'!B10</f>
        <v>100</v>
      </c>
      <c r="D3" s="45"/>
      <c r="E3" s="45"/>
      <c r="H3" s="62"/>
      <c r="I3" s="63"/>
      <c r="J3" s="63"/>
      <c r="K3" s="25"/>
      <c r="L3" s="25"/>
      <c r="M3" s="25"/>
      <c r="N3" s="25"/>
      <c r="O3" s="25"/>
      <c r="P3" s="25"/>
      <c r="Q3" s="25"/>
      <c r="R3" s="25"/>
      <c r="S3" s="25"/>
      <c r="T3"/>
      <c r="U3"/>
      <c r="V3" s="64"/>
    </row>
    <row r="4" spans="1:22" s="26" customFormat="1" ht="45" customHeight="1">
      <c r="A4"/>
      <c r="B4"/>
      <c r="C4"/>
      <c r="D4" s="3"/>
      <c r="E4"/>
      <c r="H4" s="62"/>
      <c r="I4" s="63"/>
      <c r="J4" s="63"/>
      <c r="K4" s="25"/>
      <c r="L4" s="25"/>
      <c r="M4" s="25"/>
      <c r="N4" s="25"/>
      <c r="O4" s="25"/>
      <c r="P4" s="25"/>
      <c r="Q4" s="25"/>
      <c r="R4" s="25"/>
      <c r="S4" s="25"/>
      <c r="T4"/>
      <c r="U4"/>
      <c r="V4" s="64"/>
    </row>
    <row r="5" spans="1:22" s="26" customFormat="1" ht="30" customHeight="1">
      <c r="A5" s="68"/>
      <c r="B5" s="466" t="s">
        <v>482</v>
      </c>
      <c r="C5" s="466"/>
      <c r="D5" s="466" t="s">
        <v>256</v>
      </c>
      <c r="E5" s="467"/>
      <c r="H5" s="62"/>
      <c r="I5" s="63"/>
      <c r="J5" s="63"/>
      <c r="K5" s="25"/>
      <c r="L5" s="25"/>
      <c r="M5" s="25"/>
      <c r="N5" s="25"/>
      <c r="O5" s="25"/>
      <c r="P5" s="25"/>
      <c r="Q5" s="25"/>
      <c r="R5" s="25"/>
      <c r="S5" s="25"/>
      <c r="T5"/>
      <c r="U5"/>
      <c r="V5" s="64"/>
    </row>
    <row r="6" spans="1:22" s="26" customFormat="1" ht="30" customHeight="1">
      <c r="A6" s="98"/>
      <c r="B6" s="99" t="s">
        <v>301</v>
      </c>
      <c r="C6" s="99" t="s">
        <v>302</v>
      </c>
      <c r="D6" s="99" t="s">
        <v>301</v>
      </c>
      <c r="E6" s="100" t="s">
        <v>302</v>
      </c>
      <c r="H6" s="62"/>
      <c r="I6" s="63"/>
      <c r="J6" s="63"/>
      <c r="K6" s="25"/>
      <c r="L6" s="25"/>
      <c r="M6" s="25"/>
      <c r="N6" s="25"/>
      <c r="O6" s="25"/>
      <c r="P6" s="25"/>
      <c r="Q6" s="25"/>
      <c r="R6" s="25"/>
      <c r="S6" s="25"/>
      <c r="T6"/>
      <c r="U6"/>
      <c r="V6" s="64"/>
    </row>
    <row r="7" spans="1:22" s="26" customFormat="1" ht="30" customHeight="1">
      <c r="A7" s="81" t="s">
        <v>62</v>
      </c>
      <c r="B7" s="82">
        <f>R18</f>
        <v>0</v>
      </c>
      <c r="C7" s="83">
        <f>S18</f>
        <v>0</v>
      </c>
      <c r="D7" s="228">
        <f>T18</f>
        <v>0</v>
      </c>
      <c r="E7" s="229">
        <f>U18</f>
        <v>0</v>
      </c>
      <c r="H7" s="62"/>
      <c r="I7" s="63"/>
      <c r="J7" s="63"/>
      <c r="K7" s="25"/>
      <c r="L7" s="25"/>
      <c r="M7" s="25"/>
      <c r="N7" s="25"/>
      <c r="O7" s="25"/>
      <c r="P7" s="25"/>
      <c r="Q7" s="25"/>
      <c r="R7" s="25"/>
      <c r="S7" s="25"/>
      <c r="T7"/>
      <c r="U7"/>
      <c r="V7" s="64"/>
    </row>
    <row r="8" spans="1:22" s="26" customFormat="1" ht="30" customHeight="1">
      <c r="A8" s="86" t="s">
        <v>483</v>
      </c>
      <c r="B8" s="87">
        <f>ROUND(R17,3-(INT(LOG(R17))+1))</f>
        <v>12800</v>
      </c>
      <c r="C8" s="319">
        <f>ROUND(S17,3-(INT(LOG(S17))+1))</f>
        <v>20400</v>
      </c>
      <c r="D8" s="280">
        <f>ROUND(T17,3-(INT(LOG(T17))+1))</f>
        <v>128</v>
      </c>
      <c r="E8" s="280">
        <f>ROUND(U17,3-(INT(LOG(U17))+1))</f>
        <v>204</v>
      </c>
      <c r="H8" s="62"/>
      <c r="I8" s="63"/>
      <c r="J8" s="63"/>
      <c r="K8" s="25"/>
      <c r="L8" s="25"/>
      <c r="M8" s="25"/>
      <c r="N8" s="25"/>
      <c r="O8" s="25"/>
      <c r="P8" s="25"/>
      <c r="Q8" s="25"/>
      <c r="R8" s="25"/>
      <c r="S8" s="25"/>
      <c r="T8"/>
      <c r="U8"/>
      <c r="V8" s="64"/>
    </row>
    <row r="9" spans="1:22" s="26" customFormat="1" ht="30" customHeight="1">
      <c r="A9" s="90" t="s">
        <v>61</v>
      </c>
      <c r="B9" s="91">
        <v>0</v>
      </c>
      <c r="C9" s="91">
        <v>0</v>
      </c>
      <c r="D9" s="92">
        <v>0</v>
      </c>
      <c r="E9" s="93">
        <v>0</v>
      </c>
      <c r="H9" s="62"/>
      <c r="I9" s="63"/>
      <c r="J9" s="63"/>
      <c r="K9" s="25"/>
      <c r="L9" s="25"/>
      <c r="M9" s="25"/>
      <c r="N9" s="25"/>
      <c r="O9" s="25"/>
      <c r="P9" s="25"/>
      <c r="Q9" s="25"/>
      <c r="R9" s="25"/>
      <c r="S9" s="25"/>
      <c r="T9"/>
      <c r="U9"/>
      <c r="V9" s="64"/>
    </row>
    <row r="10" spans="1:22" s="26" customFormat="1" ht="30" customHeight="1">
      <c r="A10" s="94" t="s">
        <v>481</v>
      </c>
      <c r="B10" s="95">
        <f>R19</f>
        <v>12800</v>
      </c>
      <c r="C10" s="95">
        <f>S19</f>
        <v>20400</v>
      </c>
      <c r="D10" s="176">
        <f>T19</f>
        <v>128</v>
      </c>
      <c r="E10" s="176">
        <f>U19</f>
        <v>204</v>
      </c>
      <c r="F10" s="22"/>
      <c r="H10" s="62"/>
      <c r="I10" s="63"/>
      <c r="J10" s="63"/>
      <c r="K10" s="25"/>
      <c r="L10" s="25"/>
      <c r="M10" s="25"/>
      <c r="N10" s="25"/>
      <c r="O10" s="25"/>
      <c r="P10" s="25"/>
      <c r="Q10" s="25"/>
      <c r="R10" s="25"/>
      <c r="S10" s="25"/>
      <c r="T10"/>
      <c r="U10"/>
      <c r="V10" s="64"/>
    </row>
    <row r="11" spans="1:22" s="26" customFormat="1" ht="30" customHeight="1">
      <c r="A11"/>
      <c r="B11"/>
      <c r="C11"/>
      <c r="D11" s="3"/>
      <c r="E11"/>
      <c r="F11" s="22"/>
      <c r="H11" s="62"/>
      <c r="I11" s="63"/>
      <c r="J11" s="63"/>
      <c r="K11" s="25"/>
      <c r="L11" s="25"/>
      <c r="M11" s="25"/>
      <c r="N11" s="25"/>
      <c r="O11" s="25"/>
      <c r="P11" s="25"/>
      <c r="Q11" s="25"/>
      <c r="R11" s="25"/>
      <c r="S11" s="25"/>
      <c r="T11"/>
      <c r="U11"/>
      <c r="V11" s="64"/>
    </row>
    <row r="12" spans="1:22" s="26" customFormat="1" ht="30" customHeight="1">
      <c r="A12"/>
      <c r="B12"/>
      <c r="C12"/>
      <c r="D12" s="3"/>
      <c r="E12"/>
      <c r="F12" s="22"/>
      <c r="H12" s="62"/>
      <c r="I12" s="63"/>
      <c r="J12" s="63"/>
      <c r="K12" s="25"/>
      <c r="L12" s="25"/>
      <c r="M12" s="25"/>
      <c r="N12" s="25"/>
      <c r="O12" s="25"/>
      <c r="P12" s="25"/>
      <c r="Q12" s="25"/>
      <c r="R12" s="25"/>
      <c r="S12" s="25"/>
      <c r="T12"/>
      <c r="U12"/>
      <c r="V12" s="64"/>
    </row>
    <row r="13" spans="1:23" ht="36" customHeight="1">
      <c r="A13" s="302"/>
      <c r="B13" s="303"/>
      <c r="C13" s="303"/>
      <c r="D13" s="302"/>
      <c r="E13" s="303"/>
      <c r="F13" s="303"/>
      <c r="G13" s="302"/>
      <c r="H13" s="302"/>
      <c r="I13" s="591" t="s">
        <v>497</v>
      </c>
      <c r="J13" s="592"/>
      <c r="K13" s="592"/>
      <c r="L13" s="593"/>
      <c r="M13" s="581" t="s">
        <v>498</v>
      </c>
      <c r="N13" s="581"/>
      <c r="O13" s="581"/>
      <c r="P13" s="581"/>
      <c r="Q13" s="581"/>
      <c r="R13" s="608" t="s">
        <v>499</v>
      </c>
      <c r="S13" s="609"/>
      <c r="T13" s="609"/>
      <c r="U13" s="610"/>
      <c r="V13" s="304"/>
      <c r="W13" s="305"/>
    </row>
    <row r="14" spans="1:23" s="58" customFormat="1" ht="73.5">
      <c r="A14" s="306" t="s">
        <v>0</v>
      </c>
      <c r="B14" s="306" t="s">
        <v>28</v>
      </c>
      <c r="C14" s="307" t="s">
        <v>31</v>
      </c>
      <c r="D14" s="307" t="s">
        <v>109</v>
      </c>
      <c r="E14" s="307" t="s">
        <v>69</v>
      </c>
      <c r="F14" s="307"/>
      <c r="G14" s="290" t="s">
        <v>503</v>
      </c>
      <c r="H14" s="290" t="s">
        <v>1</v>
      </c>
      <c r="I14" s="581" t="s">
        <v>256</v>
      </c>
      <c r="J14" s="581"/>
      <c r="K14" s="528" t="s">
        <v>500</v>
      </c>
      <c r="L14" s="528"/>
      <c r="M14" s="528" t="s">
        <v>319</v>
      </c>
      <c r="N14" s="528"/>
      <c r="O14" s="580" t="s">
        <v>453</v>
      </c>
      <c r="P14" s="580"/>
      <c r="Q14" s="286" t="s">
        <v>261</v>
      </c>
      <c r="R14" s="472" t="s">
        <v>325</v>
      </c>
      <c r="S14" s="472"/>
      <c r="T14" s="472" t="s">
        <v>475</v>
      </c>
      <c r="U14" s="472"/>
      <c r="V14" s="308" t="s">
        <v>259</v>
      </c>
      <c r="W14" s="290" t="s">
        <v>258</v>
      </c>
    </row>
    <row r="15" spans="1:23" s="58" customFormat="1" ht="36" customHeight="1">
      <c r="A15" s="306"/>
      <c r="B15" s="306"/>
      <c r="C15" s="307"/>
      <c r="D15" s="307"/>
      <c r="E15" s="307"/>
      <c r="F15" s="307"/>
      <c r="G15" s="290"/>
      <c r="H15" s="290"/>
      <c r="I15" s="287" t="s">
        <v>301</v>
      </c>
      <c r="J15" s="287" t="s">
        <v>302</v>
      </c>
      <c r="K15" s="288" t="s">
        <v>301</v>
      </c>
      <c r="L15" s="288" t="s">
        <v>302</v>
      </c>
      <c r="M15" s="288" t="s">
        <v>301</v>
      </c>
      <c r="N15" s="288" t="s">
        <v>302</v>
      </c>
      <c r="O15" s="289" t="s">
        <v>301</v>
      </c>
      <c r="P15" s="289" t="s">
        <v>302</v>
      </c>
      <c r="Q15" s="286"/>
      <c r="R15" s="288" t="s">
        <v>301</v>
      </c>
      <c r="S15" s="288" t="s">
        <v>302</v>
      </c>
      <c r="T15" s="288" t="s">
        <v>301</v>
      </c>
      <c r="U15" s="288" t="s">
        <v>302</v>
      </c>
      <c r="V15" s="308"/>
      <c r="W15" s="290"/>
    </row>
    <row r="16" spans="1:23" s="58" customFormat="1" ht="36" customHeight="1">
      <c r="A16" s="188">
        <v>1</v>
      </c>
      <c r="B16" s="189"/>
      <c r="C16" s="189" t="s">
        <v>30</v>
      </c>
      <c r="D16" s="189" t="s">
        <v>60</v>
      </c>
      <c r="E16" s="189"/>
      <c r="F16" s="579" t="s">
        <v>262</v>
      </c>
      <c r="G16" s="579"/>
      <c r="H16" s="193" t="s">
        <v>29</v>
      </c>
      <c r="I16" s="190"/>
      <c r="J16" s="190"/>
      <c r="K16" s="191"/>
      <c r="L16" s="191"/>
      <c r="M16" s="191"/>
      <c r="N16" s="191"/>
      <c r="O16" s="191"/>
      <c r="P16" s="191"/>
      <c r="Q16" s="191"/>
      <c r="R16" s="191"/>
      <c r="S16" s="191"/>
      <c r="T16" s="191"/>
      <c r="U16" s="191"/>
      <c r="V16" s="192"/>
      <c r="W16" s="193" t="s">
        <v>257</v>
      </c>
    </row>
    <row r="17" spans="1:23" s="58" customFormat="1" ht="55.5">
      <c r="A17" s="223">
        <v>1.1</v>
      </c>
      <c r="B17" s="198" t="s">
        <v>144</v>
      </c>
      <c r="C17" s="198" t="s">
        <v>64</v>
      </c>
      <c r="D17" s="200" t="s">
        <v>60</v>
      </c>
      <c r="E17" s="198" t="s">
        <v>70</v>
      </c>
      <c r="F17" s="607" t="s">
        <v>520</v>
      </c>
      <c r="G17" s="607"/>
      <c r="H17" s="202" t="s">
        <v>186</v>
      </c>
      <c r="I17" s="224">
        <v>128</v>
      </c>
      <c r="J17" s="224">
        <v>204</v>
      </c>
      <c r="K17" s="204">
        <v>0</v>
      </c>
      <c r="L17" s="204"/>
      <c r="M17" s="204"/>
      <c r="N17" s="204"/>
      <c r="O17" s="203">
        <v>0</v>
      </c>
      <c r="P17" s="203"/>
      <c r="Q17" s="203">
        <v>0</v>
      </c>
      <c r="R17" s="204">
        <f>I17*$C$3+K17+((M17*$C$3+O17)*Q17)</f>
        <v>12800</v>
      </c>
      <c r="S17" s="204">
        <f>J17*$C$3+L17+((N17*$C$3+P17)*R17)</f>
        <v>20400</v>
      </c>
      <c r="T17" s="203">
        <f>I17+(M17*Q17)</f>
        <v>128</v>
      </c>
      <c r="U17" s="203">
        <f>J17+(N17*Q17)</f>
        <v>204</v>
      </c>
      <c r="V17" s="225" t="s">
        <v>451</v>
      </c>
      <c r="W17" s="202" t="s">
        <v>268</v>
      </c>
    </row>
    <row r="18" spans="1:23" s="58" customFormat="1" ht="36" customHeight="1">
      <c r="A18" s="223">
        <v>1.2</v>
      </c>
      <c r="B18" s="198" t="s">
        <v>144</v>
      </c>
      <c r="C18" s="198"/>
      <c r="D18" s="226" t="s">
        <v>62</v>
      </c>
      <c r="E18" s="198" t="s">
        <v>70</v>
      </c>
      <c r="F18" s="606" t="s">
        <v>215</v>
      </c>
      <c r="G18" s="606"/>
      <c r="H18" s="198" t="s">
        <v>216</v>
      </c>
      <c r="I18" s="203">
        <v>0</v>
      </c>
      <c r="J18" s="203">
        <v>0</v>
      </c>
      <c r="K18" s="204">
        <v>0</v>
      </c>
      <c r="L18" s="204"/>
      <c r="M18" s="203">
        <v>0</v>
      </c>
      <c r="N18" s="203"/>
      <c r="O18" s="204">
        <v>0</v>
      </c>
      <c r="P18" s="204"/>
      <c r="Q18" s="203">
        <v>0</v>
      </c>
      <c r="R18" s="204">
        <f>I18*$C$3+K18+((M18*$C$3+O18)*Q18)</f>
        <v>0</v>
      </c>
      <c r="S18" s="204">
        <f>J18*$C$3+L18+((N18*$C$3+P18)*R18)</f>
        <v>0</v>
      </c>
      <c r="T18" s="203">
        <f>I18+(M18*Q18)</f>
        <v>0</v>
      </c>
      <c r="U18" s="203">
        <f>J18+(N18*Q18)</f>
        <v>0</v>
      </c>
      <c r="V18" s="205" t="s">
        <v>265</v>
      </c>
      <c r="W18" s="202" t="s">
        <v>257</v>
      </c>
    </row>
    <row r="19" spans="1:23" s="58" customFormat="1" ht="36" customHeight="1">
      <c r="A19" s="215"/>
      <c r="B19" s="215"/>
      <c r="C19" s="215"/>
      <c r="D19" s="215"/>
      <c r="E19" s="215"/>
      <c r="F19" s="215"/>
      <c r="G19" s="215"/>
      <c r="H19" s="215"/>
      <c r="I19" s="218"/>
      <c r="J19" s="218"/>
      <c r="K19" s="219"/>
      <c r="L19" s="219"/>
      <c r="M19" s="219"/>
      <c r="N19" s="219"/>
      <c r="O19" s="219"/>
      <c r="P19" s="219"/>
      <c r="Q19" s="220" t="s">
        <v>330</v>
      </c>
      <c r="R19" s="221">
        <f>ROUND((SUM(R17:R18)),3-(INT(LOG((SUM(R17:R18)))+1)))</f>
        <v>12800</v>
      </c>
      <c r="S19" s="342">
        <f>ROUND((SUM(S17:S18)),3-(INT(LOG((SUM(S17:S18)))+1)))</f>
        <v>20400</v>
      </c>
      <c r="T19" s="343">
        <f>ROUND((SUM(T17:T18)),3-(INT(LOG((SUM(T17:T18)))+1)))</f>
        <v>128</v>
      </c>
      <c r="U19" s="343">
        <f>ROUND((SUM(U17:U18)),3-(INT(LOG((SUM(U17:U18)))+1)))</f>
        <v>204</v>
      </c>
      <c r="V19" s="222"/>
      <c r="W19" s="215"/>
    </row>
    <row r="20" spans="9:23" s="58" customFormat="1" ht="36" customHeight="1">
      <c r="I20" s="17"/>
      <c r="J20" s="17"/>
      <c r="K20" s="52"/>
      <c r="L20" s="52"/>
      <c r="M20" s="52"/>
      <c r="N20" s="52"/>
      <c r="O20" s="52"/>
      <c r="P20" s="52"/>
      <c r="Q20" s="52"/>
      <c r="R20" s="52"/>
      <c r="S20" s="52"/>
      <c r="T20" s="52"/>
      <c r="U20" s="52"/>
      <c r="V20" s="59"/>
      <c r="W20" s="143"/>
    </row>
    <row r="21" s="58" customFormat="1" ht="13.5"/>
    <row r="22" s="58" customFormat="1" ht="13.5"/>
    <row r="23" spans="2:22" ht="13.5">
      <c r="B23"/>
      <c r="C23"/>
      <c r="E23"/>
      <c r="F23"/>
      <c r="I23"/>
      <c r="J23"/>
      <c r="K23"/>
      <c r="L23"/>
      <c r="M23"/>
      <c r="N23"/>
      <c r="O23"/>
      <c r="P23"/>
      <c r="Q23"/>
      <c r="R23"/>
      <c r="S23"/>
      <c r="T23"/>
      <c r="U23"/>
      <c r="V23"/>
    </row>
    <row r="24" spans="2:22" ht="13.5">
      <c r="B24"/>
      <c r="C24"/>
      <c r="E24"/>
      <c r="F24"/>
      <c r="I24"/>
      <c r="J24"/>
      <c r="K24"/>
      <c r="L24"/>
      <c r="M24"/>
      <c r="N24"/>
      <c r="O24"/>
      <c r="P24"/>
      <c r="Q24"/>
      <c r="R24"/>
      <c r="S24"/>
      <c r="T24"/>
      <c r="U24"/>
      <c r="V24"/>
    </row>
    <row r="25" spans="2:22" ht="13.5">
      <c r="B25"/>
      <c r="C25"/>
      <c r="E25"/>
      <c r="F25"/>
      <c r="I25"/>
      <c r="J25"/>
      <c r="K25"/>
      <c r="L25"/>
      <c r="M25"/>
      <c r="N25"/>
      <c r="O25"/>
      <c r="P25"/>
      <c r="Q25"/>
      <c r="R25"/>
      <c r="S25"/>
      <c r="T25"/>
      <c r="U25"/>
      <c r="V25"/>
    </row>
    <row r="26" spans="2:22" ht="13.5">
      <c r="B26"/>
      <c r="C26"/>
      <c r="E26"/>
      <c r="F26"/>
      <c r="I26"/>
      <c r="J26"/>
      <c r="K26"/>
      <c r="L26"/>
      <c r="M26"/>
      <c r="N26"/>
      <c r="O26"/>
      <c r="P26"/>
      <c r="Q26"/>
      <c r="R26"/>
      <c r="S26"/>
      <c r="T26"/>
      <c r="U26"/>
      <c r="V26"/>
    </row>
    <row r="27" spans="2:22" ht="13.5">
      <c r="B27"/>
      <c r="C27"/>
      <c r="E27"/>
      <c r="F27"/>
      <c r="I27"/>
      <c r="J27"/>
      <c r="K27"/>
      <c r="L27"/>
      <c r="M27"/>
      <c r="N27"/>
      <c r="O27"/>
      <c r="P27"/>
      <c r="Q27"/>
      <c r="R27"/>
      <c r="S27"/>
      <c r="T27"/>
      <c r="U27"/>
      <c r="V27"/>
    </row>
    <row r="28" spans="2:22" ht="13.5">
      <c r="B28"/>
      <c r="C28"/>
      <c r="E28"/>
      <c r="F28"/>
      <c r="I28"/>
      <c r="J28"/>
      <c r="K28"/>
      <c r="L28"/>
      <c r="M28"/>
      <c r="N28"/>
      <c r="O28"/>
      <c r="P28"/>
      <c r="Q28"/>
      <c r="R28"/>
      <c r="S28"/>
      <c r="T28"/>
      <c r="U28"/>
      <c r="V28"/>
    </row>
    <row r="29" spans="2:22" ht="13.5">
      <c r="B29"/>
      <c r="C29"/>
      <c r="E29"/>
      <c r="F29"/>
      <c r="I29"/>
      <c r="J29"/>
      <c r="K29"/>
      <c r="L29"/>
      <c r="M29"/>
      <c r="N29"/>
      <c r="O29"/>
      <c r="P29"/>
      <c r="Q29"/>
      <c r="R29"/>
      <c r="S29"/>
      <c r="T29"/>
      <c r="U29"/>
      <c r="V29"/>
    </row>
    <row r="30" spans="2:22" ht="13.5">
      <c r="B30"/>
      <c r="C30"/>
      <c r="E30"/>
      <c r="F30"/>
      <c r="I30"/>
      <c r="J30"/>
      <c r="K30"/>
      <c r="L30"/>
      <c r="M30"/>
      <c r="N30"/>
      <c r="O30"/>
      <c r="P30"/>
      <c r="Q30"/>
      <c r="R30"/>
      <c r="S30"/>
      <c r="T30"/>
      <c r="U30"/>
      <c r="V30"/>
    </row>
    <row r="31" spans="2:22" ht="13.5">
      <c r="B31"/>
      <c r="C31"/>
      <c r="E31"/>
      <c r="F31"/>
      <c r="I31"/>
      <c r="J31"/>
      <c r="K31"/>
      <c r="L31"/>
      <c r="M31"/>
      <c r="N31"/>
      <c r="O31"/>
      <c r="P31"/>
      <c r="Q31"/>
      <c r="R31"/>
      <c r="S31"/>
      <c r="T31"/>
      <c r="U31"/>
      <c r="V31"/>
    </row>
    <row r="32" spans="2:22" ht="13.5">
      <c r="B32"/>
      <c r="C32"/>
      <c r="E32"/>
      <c r="F32"/>
      <c r="I32"/>
      <c r="J32"/>
      <c r="K32"/>
      <c r="L32"/>
      <c r="M32"/>
      <c r="N32"/>
      <c r="O32"/>
      <c r="P32"/>
      <c r="Q32"/>
      <c r="R32"/>
      <c r="S32"/>
      <c r="T32"/>
      <c r="U32"/>
      <c r="V32"/>
    </row>
    <row r="33" spans="2:22" ht="13.5">
      <c r="B33"/>
      <c r="C33"/>
      <c r="E33"/>
      <c r="F33"/>
      <c r="I33"/>
      <c r="J33"/>
      <c r="K33"/>
      <c r="L33"/>
      <c r="M33"/>
      <c r="N33"/>
      <c r="O33"/>
      <c r="P33"/>
      <c r="Q33"/>
      <c r="R33"/>
      <c r="S33"/>
      <c r="T33"/>
      <c r="U33"/>
      <c r="V33"/>
    </row>
    <row r="34" spans="2:22" ht="13.5">
      <c r="B34"/>
      <c r="C34"/>
      <c r="E34"/>
      <c r="F34"/>
      <c r="I34"/>
      <c r="J34"/>
      <c r="K34"/>
      <c r="L34"/>
      <c r="M34"/>
      <c r="N34"/>
      <c r="O34"/>
      <c r="P34"/>
      <c r="Q34"/>
      <c r="R34"/>
      <c r="S34"/>
      <c r="T34"/>
      <c r="U34"/>
      <c r="V34"/>
    </row>
    <row r="35" spans="2:22" ht="13.5">
      <c r="B35"/>
      <c r="C35"/>
      <c r="E35"/>
      <c r="F35"/>
      <c r="I35"/>
      <c r="J35"/>
      <c r="K35"/>
      <c r="L35"/>
      <c r="M35"/>
      <c r="N35"/>
      <c r="O35"/>
      <c r="P35"/>
      <c r="Q35"/>
      <c r="R35"/>
      <c r="S35"/>
      <c r="T35"/>
      <c r="U35"/>
      <c r="V35"/>
    </row>
    <row r="36" spans="2:22" ht="13.5">
      <c r="B36"/>
      <c r="C36"/>
      <c r="E36"/>
      <c r="F36"/>
      <c r="I36"/>
      <c r="J36"/>
      <c r="K36"/>
      <c r="L36"/>
      <c r="M36"/>
      <c r="N36"/>
      <c r="O36"/>
      <c r="P36"/>
      <c r="Q36"/>
      <c r="R36"/>
      <c r="S36"/>
      <c r="T36"/>
      <c r="U36"/>
      <c r="V36"/>
    </row>
    <row r="37" spans="2:22" ht="13.5">
      <c r="B37"/>
      <c r="C37"/>
      <c r="E37"/>
      <c r="F37"/>
      <c r="I37"/>
      <c r="J37"/>
      <c r="K37"/>
      <c r="L37"/>
      <c r="M37"/>
      <c r="N37"/>
      <c r="O37"/>
      <c r="P37"/>
      <c r="Q37"/>
      <c r="R37"/>
      <c r="S37"/>
      <c r="T37"/>
      <c r="U37"/>
      <c r="V37"/>
    </row>
    <row r="38" spans="2:22" ht="13.5">
      <c r="B38"/>
      <c r="C38"/>
      <c r="E38"/>
      <c r="F38"/>
      <c r="I38"/>
      <c r="J38"/>
      <c r="K38"/>
      <c r="L38"/>
      <c r="M38"/>
      <c r="N38"/>
      <c r="O38"/>
      <c r="P38"/>
      <c r="Q38"/>
      <c r="R38"/>
      <c r="S38"/>
      <c r="T38"/>
      <c r="U38"/>
      <c r="V38"/>
    </row>
    <row r="39" spans="2:22" ht="13.5">
      <c r="B39"/>
      <c r="C39"/>
      <c r="E39"/>
      <c r="F39"/>
      <c r="I39"/>
      <c r="J39"/>
      <c r="K39"/>
      <c r="L39"/>
      <c r="M39"/>
      <c r="N39"/>
      <c r="O39"/>
      <c r="P39"/>
      <c r="Q39"/>
      <c r="R39"/>
      <c r="S39"/>
      <c r="T39"/>
      <c r="U39"/>
      <c r="V39"/>
    </row>
    <row r="40" spans="2:22" ht="13.5">
      <c r="B40"/>
      <c r="C40"/>
      <c r="E40"/>
      <c r="F40"/>
      <c r="I40"/>
      <c r="J40"/>
      <c r="K40"/>
      <c r="L40"/>
      <c r="M40"/>
      <c r="N40"/>
      <c r="O40"/>
      <c r="P40"/>
      <c r="Q40"/>
      <c r="R40"/>
      <c r="S40"/>
      <c r="T40"/>
      <c r="U40"/>
      <c r="V40"/>
    </row>
    <row r="41" spans="2:22" ht="13.5">
      <c r="B41"/>
      <c r="C41"/>
      <c r="E41"/>
      <c r="F41"/>
      <c r="I41"/>
      <c r="J41"/>
      <c r="K41"/>
      <c r="L41"/>
      <c r="M41"/>
      <c r="N41"/>
      <c r="O41"/>
      <c r="P41"/>
      <c r="Q41"/>
      <c r="R41"/>
      <c r="S41"/>
      <c r="T41"/>
      <c r="U41"/>
      <c r="V41"/>
    </row>
    <row r="42" spans="2:22" ht="13.5">
      <c r="B42"/>
      <c r="C42"/>
      <c r="E42"/>
      <c r="F42"/>
      <c r="I42"/>
      <c r="J42"/>
      <c r="K42"/>
      <c r="L42"/>
      <c r="M42"/>
      <c r="N42"/>
      <c r="O42"/>
      <c r="P42"/>
      <c r="Q42"/>
      <c r="R42"/>
      <c r="S42"/>
      <c r="T42"/>
      <c r="U42"/>
      <c r="V42"/>
    </row>
    <row r="43" spans="2:22" ht="13.5">
      <c r="B43"/>
      <c r="C43"/>
      <c r="E43"/>
      <c r="F43"/>
      <c r="I43"/>
      <c r="J43"/>
      <c r="K43"/>
      <c r="L43"/>
      <c r="M43"/>
      <c r="N43"/>
      <c r="O43"/>
      <c r="P43"/>
      <c r="Q43"/>
      <c r="R43"/>
      <c r="S43"/>
      <c r="T43"/>
      <c r="U43"/>
      <c r="V43"/>
    </row>
    <row r="44" spans="2:22" ht="13.5">
      <c r="B44"/>
      <c r="C44"/>
      <c r="E44"/>
      <c r="F44"/>
      <c r="I44"/>
      <c r="J44"/>
      <c r="K44"/>
      <c r="L44"/>
      <c r="M44"/>
      <c r="N44"/>
      <c r="O44"/>
      <c r="P44"/>
      <c r="Q44"/>
      <c r="R44"/>
      <c r="S44"/>
      <c r="T44"/>
      <c r="U44"/>
      <c r="V44"/>
    </row>
    <row r="45" spans="2:22" ht="13.5">
      <c r="B45"/>
      <c r="C45"/>
      <c r="E45"/>
      <c r="F45"/>
      <c r="I45"/>
      <c r="J45"/>
      <c r="K45"/>
      <c r="L45"/>
      <c r="M45"/>
      <c r="N45"/>
      <c r="O45"/>
      <c r="P45"/>
      <c r="Q45"/>
      <c r="R45"/>
      <c r="S45"/>
      <c r="T45"/>
      <c r="U45"/>
      <c r="V45"/>
    </row>
    <row r="46" spans="2:22" ht="13.5">
      <c r="B46"/>
      <c r="C46"/>
      <c r="E46"/>
      <c r="F46"/>
      <c r="I46"/>
      <c r="J46"/>
      <c r="K46"/>
      <c r="L46"/>
      <c r="M46"/>
      <c r="N46"/>
      <c r="O46"/>
      <c r="P46"/>
      <c r="Q46"/>
      <c r="R46"/>
      <c r="S46"/>
      <c r="T46"/>
      <c r="U46"/>
      <c r="V46"/>
    </row>
    <row r="47" spans="2:22" ht="13.5">
      <c r="B47"/>
      <c r="C47"/>
      <c r="E47"/>
      <c r="F47"/>
      <c r="I47"/>
      <c r="J47"/>
      <c r="K47"/>
      <c r="L47"/>
      <c r="M47"/>
      <c r="N47"/>
      <c r="O47"/>
      <c r="P47"/>
      <c r="Q47"/>
      <c r="R47"/>
      <c r="S47"/>
      <c r="T47"/>
      <c r="U47"/>
      <c r="V47"/>
    </row>
    <row r="48" spans="2:22" ht="13.5">
      <c r="B48"/>
      <c r="C48"/>
      <c r="E48"/>
      <c r="F48"/>
      <c r="I48"/>
      <c r="J48"/>
      <c r="K48"/>
      <c r="L48"/>
      <c r="M48"/>
      <c r="N48"/>
      <c r="O48"/>
      <c r="P48"/>
      <c r="Q48"/>
      <c r="R48"/>
      <c r="S48"/>
      <c r="T48"/>
      <c r="U48"/>
      <c r="V48"/>
    </row>
    <row r="49" spans="2:22" ht="13.5">
      <c r="B49"/>
      <c r="C49"/>
      <c r="E49"/>
      <c r="F49"/>
      <c r="I49"/>
      <c r="J49"/>
      <c r="K49"/>
      <c r="L49"/>
      <c r="M49"/>
      <c r="N49"/>
      <c r="O49"/>
      <c r="P49"/>
      <c r="Q49"/>
      <c r="R49"/>
      <c r="S49"/>
      <c r="T49"/>
      <c r="U49"/>
      <c r="V49"/>
    </row>
    <row r="50" spans="2:22" ht="13.5">
      <c r="B50"/>
      <c r="C50"/>
      <c r="E50"/>
      <c r="F50"/>
      <c r="I50"/>
      <c r="J50"/>
      <c r="K50"/>
      <c r="L50"/>
      <c r="M50"/>
      <c r="N50"/>
      <c r="O50"/>
      <c r="P50"/>
      <c r="Q50"/>
      <c r="R50"/>
      <c r="S50"/>
      <c r="T50"/>
      <c r="U50"/>
      <c r="V50"/>
    </row>
    <row r="51" spans="2:22" ht="13.5">
      <c r="B51"/>
      <c r="C51"/>
      <c r="E51"/>
      <c r="F51"/>
      <c r="I51"/>
      <c r="J51"/>
      <c r="K51"/>
      <c r="L51"/>
      <c r="M51"/>
      <c r="N51"/>
      <c r="O51"/>
      <c r="P51"/>
      <c r="Q51"/>
      <c r="R51"/>
      <c r="S51"/>
      <c r="T51"/>
      <c r="U51"/>
      <c r="V51"/>
    </row>
    <row r="52" spans="2:22" ht="13.5">
      <c r="B52"/>
      <c r="C52"/>
      <c r="E52"/>
      <c r="F52"/>
      <c r="I52"/>
      <c r="J52"/>
      <c r="K52"/>
      <c r="L52"/>
      <c r="M52"/>
      <c r="N52"/>
      <c r="O52"/>
      <c r="P52"/>
      <c r="Q52"/>
      <c r="R52"/>
      <c r="S52"/>
      <c r="T52"/>
      <c r="U52"/>
      <c r="V52"/>
    </row>
    <row r="53" spans="2:22" ht="13.5">
      <c r="B53"/>
      <c r="C53"/>
      <c r="E53"/>
      <c r="F53"/>
      <c r="I53"/>
      <c r="J53"/>
      <c r="K53"/>
      <c r="L53"/>
      <c r="M53"/>
      <c r="N53"/>
      <c r="O53"/>
      <c r="P53"/>
      <c r="Q53"/>
      <c r="R53"/>
      <c r="S53"/>
      <c r="T53"/>
      <c r="U53"/>
      <c r="V53"/>
    </row>
    <row r="54" spans="2:22" ht="13.5">
      <c r="B54"/>
      <c r="C54"/>
      <c r="E54"/>
      <c r="F54"/>
      <c r="I54"/>
      <c r="J54"/>
      <c r="K54"/>
      <c r="L54"/>
      <c r="M54"/>
      <c r="N54"/>
      <c r="O54"/>
      <c r="P54"/>
      <c r="Q54"/>
      <c r="R54"/>
      <c r="S54"/>
      <c r="T54"/>
      <c r="U54"/>
      <c r="V54"/>
    </row>
    <row r="55" spans="2:22" ht="13.5">
      <c r="B55"/>
      <c r="C55"/>
      <c r="E55"/>
      <c r="F55"/>
      <c r="I55"/>
      <c r="J55"/>
      <c r="K55"/>
      <c r="L55"/>
      <c r="M55"/>
      <c r="N55"/>
      <c r="O55"/>
      <c r="P55"/>
      <c r="Q55"/>
      <c r="R55"/>
      <c r="S55"/>
      <c r="T55"/>
      <c r="U55"/>
      <c r="V55"/>
    </row>
    <row r="56" spans="2:22" ht="13.5">
      <c r="B56"/>
      <c r="C56"/>
      <c r="E56"/>
      <c r="F56"/>
      <c r="I56"/>
      <c r="J56"/>
      <c r="K56"/>
      <c r="L56"/>
      <c r="M56"/>
      <c r="N56"/>
      <c r="O56"/>
      <c r="P56"/>
      <c r="Q56"/>
      <c r="R56"/>
      <c r="S56"/>
      <c r="T56"/>
      <c r="U56"/>
      <c r="V56"/>
    </row>
    <row r="57" spans="2:22" ht="13.5">
      <c r="B57"/>
      <c r="C57"/>
      <c r="E57"/>
      <c r="F57"/>
      <c r="I57"/>
      <c r="J57"/>
      <c r="K57"/>
      <c r="L57"/>
      <c r="M57"/>
      <c r="N57"/>
      <c r="O57"/>
      <c r="P57"/>
      <c r="Q57"/>
      <c r="R57"/>
      <c r="S57"/>
      <c r="T57"/>
      <c r="U57"/>
      <c r="V57"/>
    </row>
    <row r="58" spans="2:22" ht="13.5">
      <c r="B58"/>
      <c r="C58"/>
      <c r="E58"/>
      <c r="F58"/>
      <c r="I58"/>
      <c r="J58"/>
      <c r="K58"/>
      <c r="L58"/>
      <c r="M58"/>
      <c r="N58"/>
      <c r="O58"/>
      <c r="P58"/>
      <c r="Q58"/>
      <c r="R58"/>
      <c r="S58"/>
      <c r="T58"/>
      <c r="U58"/>
      <c r="V58"/>
    </row>
    <row r="59" spans="2:22" ht="13.5">
      <c r="B59"/>
      <c r="C59"/>
      <c r="E59"/>
      <c r="F59"/>
      <c r="I59"/>
      <c r="J59"/>
      <c r="K59"/>
      <c r="L59"/>
      <c r="M59"/>
      <c r="N59"/>
      <c r="O59"/>
      <c r="P59"/>
      <c r="Q59"/>
      <c r="R59"/>
      <c r="S59"/>
      <c r="T59"/>
      <c r="U59"/>
      <c r="V59"/>
    </row>
    <row r="60" spans="2:22" ht="13.5">
      <c r="B60"/>
      <c r="C60"/>
      <c r="E60"/>
      <c r="F60"/>
      <c r="I60"/>
      <c r="J60"/>
      <c r="K60"/>
      <c r="L60"/>
      <c r="M60"/>
      <c r="N60"/>
      <c r="O60"/>
      <c r="P60"/>
      <c r="Q60"/>
      <c r="R60"/>
      <c r="S60"/>
      <c r="T60"/>
      <c r="U60"/>
      <c r="V60"/>
    </row>
    <row r="61" spans="2:22" ht="13.5">
      <c r="B61"/>
      <c r="C61"/>
      <c r="E61"/>
      <c r="F61"/>
      <c r="I61"/>
      <c r="J61"/>
      <c r="K61"/>
      <c r="L61"/>
      <c r="M61"/>
      <c r="N61"/>
      <c r="O61"/>
      <c r="P61"/>
      <c r="Q61"/>
      <c r="R61"/>
      <c r="S61"/>
      <c r="T61"/>
      <c r="U61"/>
      <c r="V61"/>
    </row>
    <row r="62" spans="2:22" ht="13.5">
      <c r="B62"/>
      <c r="C62"/>
      <c r="E62"/>
      <c r="F62"/>
      <c r="I62"/>
      <c r="J62"/>
      <c r="K62"/>
      <c r="L62"/>
      <c r="M62"/>
      <c r="N62"/>
      <c r="O62"/>
      <c r="P62"/>
      <c r="Q62"/>
      <c r="R62"/>
      <c r="S62"/>
      <c r="T62"/>
      <c r="U62"/>
      <c r="V62"/>
    </row>
    <row r="63" spans="2:22" ht="13.5">
      <c r="B63"/>
      <c r="C63"/>
      <c r="E63"/>
      <c r="F63"/>
      <c r="I63"/>
      <c r="J63"/>
      <c r="K63"/>
      <c r="L63"/>
      <c r="M63"/>
      <c r="N63"/>
      <c r="O63"/>
      <c r="P63"/>
      <c r="Q63"/>
      <c r="R63"/>
      <c r="S63"/>
      <c r="T63"/>
      <c r="U63"/>
      <c r="V63"/>
    </row>
    <row r="64" spans="2:22" ht="13.5">
      <c r="B64"/>
      <c r="C64"/>
      <c r="E64"/>
      <c r="F64"/>
      <c r="I64"/>
      <c r="J64"/>
      <c r="K64"/>
      <c r="L64"/>
      <c r="M64"/>
      <c r="N64"/>
      <c r="O64"/>
      <c r="P64"/>
      <c r="Q64"/>
      <c r="R64"/>
      <c r="S64"/>
      <c r="T64"/>
      <c r="U64"/>
      <c r="V64"/>
    </row>
    <row r="65" spans="2:22" ht="13.5">
      <c r="B65"/>
      <c r="C65"/>
      <c r="E65"/>
      <c r="F65"/>
      <c r="I65"/>
      <c r="J65"/>
      <c r="K65"/>
      <c r="L65"/>
      <c r="M65"/>
      <c r="N65"/>
      <c r="O65"/>
      <c r="P65"/>
      <c r="Q65"/>
      <c r="R65"/>
      <c r="S65"/>
      <c r="T65"/>
      <c r="U65"/>
      <c r="V65"/>
    </row>
    <row r="66" spans="2:22" ht="13.5">
      <c r="B66"/>
      <c r="C66"/>
      <c r="E66"/>
      <c r="F66"/>
      <c r="I66"/>
      <c r="J66"/>
      <c r="K66"/>
      <c r="L66"/>
      <c r="M66"/>
      <c r="N66"/>
      <c r="O66"/>
      <c r="P66"/>
      <c r="Q66"/>
      <c r="R66"/>
      <c r="S66"/>
      <c r="T66"/>
      <c r="U66"/>
      <c r="V66"/>
    </row>
    <row r="67" spans="2:22" ht="13.5">
      <c r="B67"/>
      <c r="C67"/>
      <c r="E67"/>
      <c r="F67"/>
      <c r="I67"/>
      <c r="J67"/>
      <c r="K67"/>
      <c r="L67"/>
      <c r="M67"/>
      <c r="N67"/>
      <c r="O67"/>
      <c r="P67"/>
      <c r="Q67"/>
      <c r="R67"/>
      <c r="S67"/>
      <c r="T67"/>
      <c r="U67"/>
      <c r="V67"/>
    </row>
    <row r="68" spans="2:22" ht="13.5">
      <c r="B68"/>
      <c r="C68"/>
      <c r="E68"/>
      <c r="F68"/>
      <c r="I68"/>
      <c r="J68"/>
      <c r="K68"/>
      <c r="L68"/>
      <c r="M68"/>
      <c r="N68"/>
      <c r="O68"/>
      <c r="P68"/>
      <c r="Q68"/>
      <c r="R68"/>
      <c r="S68"/>
      <c r="T68"/>
      <c r="U68"/>
      <c r="V68"/>
    </row>
    <row r="69" spans="2:22" ht="13.5">
      <c r="B69"/>
      <c r="C69"/>
      <c r="E69"/>
      <c r="F69"/>
      <c r="I69"/>
      <c r="J69"/>
      <c r="K69"/>
      <c r="L69"/>
      <c r="M69"/>
      <c r="N69"/>
      <c r="O69"/>
      <c r="P69"/>
      <c r="Q69"/>
      <c r="R69"/>
      <c r="S69"/>
      <c r="T69"/>
      <c r="U69"/>
      <c r="V69"/>
    </row>
    <row r="70" spans="2:22" ht="13.5">
      <c r="B70"/>
      <c r="C70"/>
      <c r="E70"/>
      <c r="F70"/>
      <c r="I70"/>
      <c r="J70"/>
      <c r="K70"/>
      <c r="L70"/>
      <c r="M70"/>
      <c r="N70"/>
      <c r="O70"/>
      <c r="P70"/>
      <c r="Q70"/>
      <c r="R70"/>
      <c r="S70"/>
      <c r="T70"/>
      <c r="U70"/>
      <c r="V70"/>
    </row>
    <row r="71" spans="2:22" ht="13.5">
      <c r="B71"/>
      <c r="C71"/>
      <c r="E71"/>
      <c r="F71"/>
      <c r="I71"/>
      <c r="J71"/>
      <c r="K71"/>
      <c r="L71"/>
      <c r="M71"/>
      <c r="N71"/>
      <c r="O71"/>
      <c r="P71"/>
      <c r="Q71"/>
      <c r="R71"/>
      <c r="S71"/>
      <c r="T71"/>
      <c r="U71"/>
      <c r="V71"/>
    </row>
    <row r="72" spans="2:22" ht="13.5">
      <c r="B72"/>
      <c r="C72"/>
      <c r="E72"/>
      <c r="F72"/>
      <c r="I72"/>
      <c r="J72"/>
      <c r="K72"/>
      <c r="L72"/>
      <c r="M72"/>
      <c r="N72"/>
      <c r="O72"/>
      <c r="P72"/>
      <c r="Q72"/>
      <c r="R72"/>
      <c r="S72"/>
      <c r="T72"/>
      <c r="U72"/>
      <c r="V72"/>
    </row>
    <row r="73" spans="2:22" ht="13.5">
      <c r="B73"/>
      <c r="C73"/>
      <c r="E73"/>
      <c r="F73"/>
      <c r="I73"/>
      <c r="J73"/>
      <c r="K73"/>
      <c r="L73"/>
      <c r="M73"/>
      <c r="N73"/>
      <c r="O73"/>
      <c r="P73"/>
      <c r="Q73"/>
      <c r="R73"/>
      <c r="S73"/>
      <c r="T73"/>
      <c r="U73"/>
      <c r="V73"/>
    </row>
    <row r="74" spans="2:22" ht="13.5">
      <c r="B74"/>
      <c r="C74"/>
      <c r="E74"/>
      <c r="F74"/>
      <c r="I74"/>
      <c r="J74"/>
      <c r="K74"/>
      <c r="L74"/>
      <c r="M74"/>
      <c r="N74"/>
      <c r="O74"/>
      <c r="P74"/>
      <c r="Q74"/>
      <c r="R74"/>
      <c r="S74"/>
      <c r="T74"/>
      <c r="U74"/>
      <c r="V74"/>
    </row>
    <row r="75" spans="2:22" ht="13.5">
      <c r="B75"/>
      <c r="C75"/>
      <c r="E75"/>
      <c r="F75"/>
      <c r="I75"/>
      <c r="J75"/>
      <c r="K75"/>
      <c r="L75"/>
      <c r="M75"/>
      <c r="N75"/>
      <c r="O75"/>
      <c r="P75"/>
      <c r="Q75"/>
      <c r="R75"/>
      <c r="S75"/>
      <c r="T75"/>
      <c r="U75"/>
      <c r="V75"/>
    </row>
    <row r="76" spans="2:22" ht="13.5">
      <c r="B76"/>
      <c r="C76"/>
      <c r="E76"/>
      <c r="F76"/>
      <c r="I76"/>
      <c r="J76"/>
      <c r="K76"/>
      <c r="L76"/>
      <c r="M76"/>
      <c r="N76"/>
      <c r="O76"/>
      <c r="P76"/>
      <c r="Q76"/>
      <c r="R76"/>
      <c r="S76"/>
      <c r="T76"/>
      <c r="U76"/>
      <c r="V76"/>
    </row>
    <row r="78" spans="2:22" ht="13.5">
      <c r="B78"/>
      <c r="C78"/>
      <c r="E78"/>
      <c r="F78"/>
      <c r="I78"/>
      <c r="J78"/>
      <c r="K78"/>
      <c r="L78"/>
      <c r="M78"/>
      <c r="N78"/>
      <c r="O78"/>
      <c r="P78"/>
      <c r="Q78"/>
      <c r="R78"/>
      <c r="S78"/>
      <c r="T78"/>
      <c r="U78"/>
      <c r="V78"/>
    </row>
    <row r="80" spans="2:22" ht="13.5">
      <c r="B80"/>
      <c r="C80"/>
      <c r="E80"/>
      <c r="F80"/>
      <c r="I80"/>
      <c r="J80"/>
      <c r="K80"/>
      <c r="L80"/>
      <c r="M80"/>
      <c r="N80"/>
      <c r="O80"/>
      <c r="P80"/>
      <c r="Q80"/>
      <c r="R80"/>
      <c r="S80"/>
      <c r="T80"/>
      <c r="U80"/>
      <c r="V80"/>
    </row>
    <row r="82" spans="2:22" ht="13.5">
      <c r="B82"/>
      <c r="C82"/>
      <c r="E82"/>
      <c r="F82"/>
      <c r="I82"/>
      <c r="J82"/>
      <c r="K82"/>
      <c r="L82"/>
      <c r="M82"/>
      <c r="N82"/>
      <c r="O82"/>
      <c r="P82"/>
      <c r="Q82"/>
      <c r="R82"/>
      <c r="S82"/>
      <c r="T82"/>
      <c r="U82"/>
      <c r="V82"/>
    </row>
    <row r="83" spans="2:22" ht="13.5">
      <c r="B83"/>
      <c r="C83"/>
      <c r="E83"/>
      <c r="F83"/>
      <c r="I83"/>
      <c r="J83"/>
      <c r="K83"/>
      <c r="L83"/>
      <c r="M83"/>
      <c r="N83"/>
      <c r="O83"/>
      <c r="P83"/>
      <c r="Q83"/>
      <c r="R83"/>
      <c r="S83"/>
      <c r="T83"/>
      <c r="U83"/>
      <c r="V83"/>
    </row>
  </sheetData>
  <sheetProtection/>
  <mergeCells count="16">
    <mergeCell ref="I13:L13"/>
    <mergeCell ref="R13:U13"/>
    <mergeCell ref="T14:U14"/>
    <mergeCell ref="M13:Q13"/>
    <mergeCell ref="I14:J14"/>
    <mergeCell ref="R14:S14"/>
    <mergeCell ref="K14:L14"/>
    <mergeCell ref="M14:N14"/>
    <mergeCell ref="O14:P14"/>
    <mergeCell ref="F18:G18"/>
    <mergeCell ref="A2:C2"/>
    <mergeCell ref="A3:B3"/>
    <mergeCell ref="B5:C5"/>
    <mergeCell ref="D5:E5"/>
    <mergeCell ref="F16:G16"/>
    <mergeCell ref="F17:G17"/>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F82"/>
  <sheetViews>
    <sheetView zoomScale="75" zoomScaleNormal="75" workbookViewId="0" topLeftCell="A1">
      <selection activeCell="A19" sqref="A19"/>
    </sheetView>
  </sheetViews>
  <sheetFormatPr defaultColWidth="8.8515625" defaultRowHeight="15"/>
  <cols>
    <col min="1" max="1" width="22.421875" style="16" bestFit="1" customWidth="1"/>
    <col min="2" max="2" width="13.421875" style="45" customWidth="1"/>
    <col min="3" max="3" width="10.421875" style="45" customWidth="1"/>
    <col min="4" max="4" width="12.28125" style="45" customWidth="1"/>
    <col min="5" max="5" width="10.28125" style="16" customWidth="1"/>
    <col min="6" max="7" width="5.00390625" style="45" customWidth="1"/>
    <col min="8" max="8" width="4.421875" style="45" customWidth="1"/>
    <col min="9" max="9" width="106.421875" style="45" customWidth="1"/>
    <col min="10" max="10" width="12.8515625" style="45" customWidth="1"/>
    <col min="11" max="12" width="8.28125" style="53" customWidth="1"/>
    <col min="13" max="14" width="8.28125" style="54" customWidth="1"/>
    <col min="15" max="16" width="10.7109375" style="53" customWidth="1"/>
    <col min="17" max="18" width="8.28125" style="54" customWidth="1"/>
    <col min="19" max="23" width="10.7109375" style="53" customWidth="1"/>
    <col min="24" max="24" width="57.421875" style="45" customWidth="1"/>
    <col min="25" max="25" width="36.8515625" style="45" customWidth="1"/>
    <col min="26" max="26" width="87.8515625" style="45" customWidth="1"/>
    <col min="27" max="16384" width="8.8515625" style="45" customWidth="1"/>
  </cols>
  <sheetData>
    <row r="1" spans="1:9" ht="21.75" customHeight="1">
      <c r="A1" s="483" t="s">
        <v>480</v>
      </c>
      <c r="B1" s="466"/>
      <c r="C1" s="467"/>
      <c r="E1" s="45"/>
      <c r="H1" s="1"/>
      <c r="I1" s="21"/>
    </row>
    <row r="2" spans="1:9" ht="21.75" customHeight="1">
      <c r="A2" s="536" t="s">
        <v>488</v>
      </c>
      <c r="B2" s="537"/>
      <c r="C2" s="139">
        <f>'MS4 Stats'!B8</f>
        <v>25</v>
      </c>
      <c r="E2" s="45"/>
      <c r="H2" s="1"/>
      <c r="I2" s="1"/>
    </row>
    <row r="3" spans="1:9" ht="21.75" customHeight="1">
      <c r="A3" s="536" t="s">
        <v>489</v>
      </c>
      <c r="B3" s="537"/>
      <c r="C3" s="236">
        <f>'MS4 Stats'!B9</f>
        <v>250</v>
      </c>
      <c r="E3" s="45"/>
      <c r="H3" s="1"/>
      <c r="I3" s="1"/>
    </row>
    <row r="4" spans="1:9" ht="21.75" customHeight="1">
      <c r="A4" s="536" t="s">
        <v>490</v>
      </c>
      <c r="B4" s="537"/>
      <c r="C4" s="49"/>
      <c r="E4" s="45"/>
      <c r="H4" s="1"/>
      <c r="I4" s="1"/>
    </row>
    <row r="5" spans="1:9" ht="21.75" customHeight="1">
      <c r="A5" s="647" t="s">
        <v>491</v>
      </c>
      <c r="B5" s="648"/>
      <c r="C5" s="49">
        <f>'MS4 Stats'!B11</f>
        <v>50</v>
      </c>
      <c r="E5" s="45"/>
      <c r="H5" s="1"/>
      <c r="I5" s="1"/>
    </row>
    <row r="6" spans="1:9" ht="21.75" customHeight="1">
      <c r="A6" s="647" t="s">
        <v>492</v>
      </c>
      <c r="B6" s="648"/>
      <c r="C6" s="49">
        <f>'MS4 Stats'!B12</f>
        <v>75</v>
      </c>
      <c r="E6" s="45"/>
      <c r="H6" s="1"/>
      <c r="I6" s="1"/>
    </row>
    <row r="7" spans="1:9" ht="36.75" customHeight="1">
      <c r="A7" s="616" t="s">
        <v>493</v>
      </c>
      <c r="B7" s="617"/>
      <c r="C7" s="49">
        <f>'MS4 Stats'!B19</f>
        <v>1.25</v>
      </c>
      <c r="D7" s="1"/>
      <c r="E7" s="1"/>
      <c r="F7" s="1"/>
      <c r="G7" s="1"/>
      <c r="I7" s="1"/>
    </row>
    <row r="8" spans="1:9" ht="36.75" customHeight="1">
      <c r="A8" s="616" t="s">
        <v>494</v>
      </c>
      <c r="B8" s="617"/>
      <c r="C8" s="271">
        <f>'MS4 Stats'!B18</f>
        <v>0.05</v>
      </c>
      <c r="D8" s="1"/>
      <c r="E8" s="1"/>
      <c r="F8" s="1"/>
      <c r="G8" s="1"/>
      <c r="I8" s="1"/>
    </row>
    <row r="9" spans="1:9" ht="42.75" customHeight="1">
      <c r="A9" s="616" t="s">
        <v>521</v>
      </c>
      <c r="B9" s="617"/>
      <c r="C9" s="49">
        <f>'MS4 Stats'!B21</f>
        <v>5</v>
      </c>
      <c r="D9" s="1"/>
      <c r="E9" s="1"/>
      <c r="F9" s="1"/>
      <c r="G9" s="1"/>
      <c r="I9" s="1"/>
    </row>
    <row r="10" spans="1:9" ht="42.75" customHeight="1">
      <c r="A10" s="616" t="s">
        <v>522</v>
      </c>
      <c r="B10" s="617"/>
      <c r="C10" s="49">
        <f>'MS4 Stats'!B22</f>
        <v>20</v>
      </c>
      <c r="D10" s="1"/>
      <c r="E10" s="1"/>
      <c r="F10" s="1"/>
      <c r="G10" s="1"/>
      <c r="I10" s="1"/>
    </row>
    <row r="11" spans="1:9" ht="42.75" customHeight="1">
      <c r="A11" s="651" t="s">
        <v>532</v>
      </c>
      <c r="B11" s="652"/>
      <c r="C11" s="403">
        <v>1</v>
      </c>
      <c r="D11" s="1"/>
      <c r="E11" s="1"/>
      <c r="F11" s="1"/>
      <c r="G11" s="1"/>
      <c r="I11" s="1"/>
    </row>
    <row r="12" spans="1:9" ht="21.75" customHeight="1">
      <c r="A12" s="536" t="s">
        <v>344</v>
      </c>
      <c r="B12" s="537"/>
      <c r="C12" s="50">
        <f>'MS4 Stats'!B10</f>
        <v>100</v>
      </c>
      <c r="D12" s="1"/>
      <c r="E12" s="1"/>
      <c r="F12" s="1"/>
      <c r="G12" s="1"/>
      <c r="I12" s="1"/>
    </row>
    <row r="13" spans="1:9" ht="28.5" customHeight="1">
      <c r="A13" s="616" t="s">
        <v>298</v>
      </c>
      <c r="B13" s="617"/>
      <c r="C13" s="50">
        <f>'WQ Analysis Costs'!D8</f>
        <v>56.76466666666666</v>
      </c>
      <c r="D13" s="1"/>
      <c r="E13" s="1"/>
      <c r="F13" s="1"/>
      <c r="G13" s="1"/>
      <c r="I13" s="1"/>
    </row>
    <row r="14" spans="1:9" ht="42.75" customHeight="1">
      <c r="A14" s="649" t="s">
        <v>299</v>
      </c>
      <c r="B14" s="650"/>
      <c r="C14" s="237">
        <f>'WQ Analysis Costs'!B5</f>
        <v>469</v>
      </c>
      <c r="D14" s="1"/>
      <c r="E14" s="1"/>
      <c r="F14" s="1"/>
      <c r="G14" s="1"/>
      <c r="I14" s="1"/>
    </row>
    <row r="15" ht="13.5">
      <c r="I15" s="24"/>
    </row>
    <row r="16" spans="4:9" ht="21.75" customHeight="1">
      <c r="D16" s="3"/>
      <c r="H16" s="1"/>
      <c r="I16" s="1"/>
    </row>
    <row r="17" spans="1:9" ht="21.75" customHeight="1">
      <c r="A17" s="379"/>
      <c r="B17" s="466" t="s">
        <v>482</v>
      </c>
      <c r="C17" s="466"/>
      <c r="D17" s="466" t="s">
        <v>256</v>
      </c>
      <c r="E17" s="467"/>
      <c r="F17" s="1"/>
      <c r="G17" s="1"/>
      <c r="I17" s="1"/>
    </row>
    <row r="18" spans="1:9" ht="21.75" customHeight="1">
      <c r="A18" s="382"/>
      <c r="B18" s="417" t="s">
        <v>301</v>
      </c>
      <c r="C18" s="417" t="s">
        <v>302</v>
      </c>
      <c r="D18" s="417" t="s">
        <v>301</v>
      </c>
      <c r="E18" s="418" t="s">
        <v>302</v>
      </c>
      <c r="F18" s="1"/>
      <c r="G18" s="1"/>
      <c r="I18" s="1"/>
    </row>
    <row r="19" spans="1:9" ht="21.75" customHeight="1">
      <c r="A19" s="314" t="s">
        <v>62</v>
      </c>
      <c r="B19" s="315">
        <f>ROUND((((O31+O35+O43+O49+O52+O56+O60+O67+O74+O79+O80)*$C$12)+(Q31+Q35+Q43+Q49+Q56+Q60+Q67+Q74+Q79+Q7+Q80)),3-(INT(LOG((((O31+O35+O43+O49+O52+O56+O60+O67+O74+O79+O80)*$C$12)+(Q31+Q35+Q43+Q49+Q56+Q60+Q67+Q74+Q79+Q7+Q80)))+1)))</f>
        <v>3700</v>
      </c>
      <c r="C19" s="315">
        <f>ROUND((((P31+P35+P43+P49+P52+P56+P60+P67+P74+P79+P80)*$C$12)+(R31+R35+R43+R49+R56+R60+R67+R74+R79+R7+R80)),3-(INT(LOG((((P31+P35+P43+P49+P52+P56+P60+P67+P74+P79+P80)*$C$12)+(R31+R35+R43+R49+R56+R60+R67+R74+R79+R7+R80)))+1)))</f>
        <v>8100</v>
      </c>
      <c r="D19" s="228">
        <f>ROUND((((O31+O35+O43+O49+O52+O56+O60+O67+O74+O79+O80))),3-(INT(LOG((((O31+O35+O43+O49+O52+O56+O60+O67+O74+O79+O80))))+1)))</f>
        <v>36</v>
      </c>
      <c r="E19" s="228">
        <f>ROUND((((P31+P35+P43+P49+P52+P56+P60+P67+P74+P79+P80))),3-(INT(LOG((((P31+P35+P43+P49+P52+P56+P60+P67+P74+P79+P80))))+1)))</f>
        <v>76</v>
      </c>
      <c r="F19" s="419"/>
      <c r="G19" s="1"/>
      <c r="I19" s="1"/>
    </row>
    <row r="20" spans="1:9" ht="21.75" customHeight="1">
      <c r="A20" s="318" t="s">
        <v>483</v>
      </c>
      <c r="B20" s="319">
        <f>ROUND((T30+T34+T36+T38+T39+T40+T45+T47+T51+T52-(O52*C12)+T54+T55+T58+T59+T61+T62+T63+T64+T65+T66+T69+T72),3-(INT(LOG((T30+T34+T36+T38+T39+T40+T45+T47+T51+T52-(O52*C12)+T54+T55+T58+T59+T61+T62+T63+T64+T65+T66+T69+T72))+1)))</f>
        <v>23400</v>
      </c>
      <c r="C20" s="319">
        <f>ROUND((U30+U34+U36+U38+U39+U40+U45+U47+U51-(P52*C12)+U52+U54+U55+U58+U59+U61+U62+U63+U64+U65+U66+U69+U72-U61),3-(INT(LOG((U30+U34+U36+U38+U39+U40+U45+U47+U51-(P52*C12)+U52+U54+U55+U58+U59+U61+U62+U63+U64+U65+U66+U69+U72-U61))+1)))</f>
        <v>50100</v>
      </c>
      <c r="D20" s="280">
        <f>ROUND((V30+V34+V36+V38+V39+V40+V45+V47+V51+V52-(O52*5)+V54+V55+V58+V59+V61+V62+V63+V64+V65+V66+V69+V72),3-(INT(LOG((V30+V34+V36+V38+V39+V40+V45+V47+V51+V52-(O52*5)+V54+V55+V58+V59+V61+V62+V63+V64+V65+V66+V69+V72))+1)))</f>
        <v>157</v>
      </c>
      <c r="E20" s="280">
        <f>ROUND((W30+W34+W36+W38+W39+W40+W45+W47+W51+W52-(P52*5)+W54+W55+W58+W59+W61+W62+W63+W64+W65+W66+W69+W72-L61),3-(INT(LOG((W30+W34+W36+W38+W39+W40+W45+W47+W51+W52-(P52*5)+W54+W55+W58+W59+W61+W62+W63+W64+W65+W66+W69+W72-L61))+1)))</f>
        <v>387</v>
      </c>
      <c r="F20" s="419"/>
      <c r="G20" s="1"/>
      <c r="I20" s="1"/>
    </row>
    <row r="21" spans="1:9" ht="21.75" customHeight="1">
      <c r="A21" s="90" t="s">
        <v>61</v>
      </c>
      <c r="B21" s="91">
        <v>0</v>
      </c>
      <c r="C21" s="91">
        <f>ROUND((U32+U42+U53+U70+U71+U75+U77),3-(INT(LOG((U32+U42+U53+U70+U71+U75+U77))+1)))</f>
        <v>33700</v>
      </c>
      <c r="D21" s="274">
        <v>0</v>
      </c>
      <c r="E21" s="274">
        <f>ROUND((W32+W42+W53+W70+W71+W75+W77),3-(INT(LOG((W32+W42+W53+W70+W71+W75+W77))+1)))</f>
        <v>320</v>
      </c>
      <c r="F21" s="1"/>
      <c r="G21" s="1"/>
      <c r="I21" s="1"/>
    </row>
    <row r="22" spans="1:9" ht="21.75" customHeight="1">
      <c r="A22" s="178" t="s">
        <v>485</v>
      </c>
      <c r="B22" s="179">
        <f>T81</f>
        <v>35500</v>
      </c>
      <c r="C22" s="179">
        <f>U81</f>
        <v>81000</v>
      </c>
      <c r="D22" s="281">
        <f>V81</f>
        <v>337</v>
      </c>
      <c r="E22" s="282">
        <f>W81</f>
        <v>767</v>
      </c>
      <c r="F22" s="1"/>
      <c r="G22" s="1"/>
      <c r="I22" s="1"/>
    </row>
    <row r="23" spans="1:9" ht="21.75" customHeight="1">
      <c r="A23" s="182" t="s">
        <v>486</v>
      </c>
      <c r="B23" s="183"/>
      <c r="C23" s="184"/>
      <c r="D23" s="183"/>
      <c r="E23" s="185"/>
      <c r="F23" s="1"/>
      <c r="G23" s="1"/>
      <c r="I23" s="1"/>
    </row>
    <row r="24" spans="1:5" ht="13.5">
      <c r="A24" s="45"/>
      <c r="E24" s="45"/>
    </row>
    <row r="25" spans="1:5" ht="13.5">
      <c r="A25" s="45"/>
      <c r="E25" s="45"/>
    </row>
    <row r="26" spans="1:25" ht="36" customHeight="1">
      <c r="A26" s="671" t="s">
        <v>0</v>
      </c>
      <c r="B26" s="671" t="s">
        <v>28</v>
      </c>
      <c r="C26" s="674" t="s">
        <v>31</v>
      </c>
      <c r="D26" s="674" t="s">
        <v>109</v>
      </c>
      <c r="E26" s="674" t="s">
        <v>69</v>
      </c>
      <c r="F26" s="669" t="s">
        <v>3</v>
      </c>
      <c r="G26" s="669"/>
      <c r="H26" s="669"/>
      <c r="I26" s="669"/>
      <c r="J26" s="523" t="s">
        <v>1</v>
      </c>
      <c r="K26" s="524" t="s">
        <v>497</v>
      </c>
      <c r="L26" s="524"/>
      <c r="M26" s="524"/>
      <c r="N26" s="524"/>
      <c r="O26" s="604" t="s">
        <v>498</v>
      </c>
      <c r="P26" s="666"/>
      <c r="Q26" s="666"/>
      <c r="R26" s="666"/>
      <c r="S26" s="667" t="s">
        <v>261</v>
      </c>
      <c r="T26" s="604" t="s">
        <v>499</v>
      </c>
      <c r="U26" s="666"/>
      <c r="V26" s="666"/>
      <c r="W26" s="605"/>
      <c r="X26" s="602" t="s">
        <v>57</v>
      </c>
      <c r="Y26" s="564" t="s">
        <v>258</v>
      </c>
    </row>
    <row r="27" spans="1:26" s="309" customFormat="1" ht="36" customHeight="1">
      <c r="A27" s="672"/>
      <c r="B27" s="672"/>
      <c r="C27" s="675"/>
      <c r="D27" s="675"/>
      <c r="E27" s="675"/>
      <c r="F27" s="670"/>
      <c r="G27" s="670"/>
      <c r="H27" s="670"/>
      <c r="I27" s="670"/>
      <c r="J27" s="523"/>
      <c r="K27" s="535" t="s">
        <v>256</v>
      </c>
      <c r="L27" s="535"/>
      <c r="M27" s="528" t="s">
        <v>501</v>
      </c>
      <c r="N27" s="528"/>
      <c r="O27" s="529" t="s">
        <v>319</v>
      </c>
      <c r="P27" s="529"/>
      <c r="Q27" s="528" t="s">
        <v>300</v>
      </c>
      <c r="R27" s="528"/>
      <c r="S27" s="667"/>
      <c r="T27" s="530" t="s">
        <v>325</v>
      </c>
      <c r="U27" s="530"/>
      <c r="V27" s="530" t="s">
        <v>475</v>
      </c>
      <c r="W27" s="530"/>
      <c r="X27" s="602"/>
      <c r="Y27" s="564"/>
      <c r="Z27" s="391"/>
    </row>
    <row r="28" spans="1:26" s="309" customFormat="1" ht="36" customHeight="1">
      <c r="A28" s="673"/>
      <c r="B28" s="673"/>
      <c r="C28" s="676"/>
      <c r="D28" s="676"/>
      <c r="E28" s="676"/>
      <c r="F28" s="534"/>
      <c r="G28" s="534"/>
      <c r="H28" s="534"/>
      <c r="I28" s="534"/>
      <c r="J28" s="524"/>
      <c r="K28" s="290" t="s">
        <v>301</v>
      </c>
      <c r="L28" s="290" t="s">
        <v>302</v>
      </c>
      <c r="M28" s="310" t="s">
        <v>301</v>
      </c>
      <c r="N28" s="310" t="s">
        <v>302</v>
      </c>
      <c r="O28" s="286" t="s">
        <v>301</v>
      </c>
      <c r="P28" s="286" t="s">
        <v>302</v>
      </c>
      <c r="Q28" s="310" t="s">
        <v>301</v>
      </c>
      <c r="R28" s="310" t="s">
        <v>302</v>
      </c>
      <c r="S28" s="668"/>
      <c r="T28" s="290" t="s">
        <v>301</v>
      </c>
      <c r="U28" s="290" t="s">
        <v>302</v>
      </c>
      <c r="V28" s="290" t="s">
        <v>301</v>
      </c>
      <c r="W28" s="290" t="s">
        <v>302</v>
      </c>
      <c r="X28" s="604"/>
      <c r="Y28" s="666"/>
      <c r="Z28" s="391"/>
    </row>
    <row r="29" spans="1:25" s="213" customFormat="1" ht="36" customHeight="1">
      <c r="A29" s="188">
        <v>1</v>
      </c>
      <c r="B29" s="188"/>
      <c r="C29" s="188"/>
      <c r="D29" s="188"/>
      <c r="E29" s="188"/>
      <c r="F29" s="628" t="s">
        <v>68</v>
      </c>
      <c r="G29" s="629"/>
      <c r="H29" s="629"/>
      <c r="I29" s="630"/>
      <c r="J29" s="705" t="s">
        <v>63</v>
      </c>
      <c r="K29" s="238"/>
      <c r="L29" s="238"/>
      <c r="M29" s="239"/>
      <c r="N29" s="239"/>
      <c r="O29" s="238"/>
      <c r="P29" s="238"/>
      <c r="Q29" s="239"/>
      <c r="R29" s="239"/>
      <c r="S29" s="238"/>
      <c r="T29" s="238"/>
      <c r="U29" s="238"/>
      <c r="V29" s="238"/>
      <c r="W29" s="238"/>
      <c r="X29" s="240"/>
      <c r="Y29" s="240"/>
    </row>
    <row r="30" spans="1:31" s="202" customFormat="1" ht="42">
      <c r="A30" s="198">
        <v>1.1</v>
      </c>
      <c r="B30" s="198" t="s">
        <v>2</v>
      </c>
      <c r="C30" s="198" t="s">
        <v>64</v>
      </c>
      <c r="D30" s="199" t="s">
        <v>60</v>
      </c>
      <c r="E30" s="198"/>
      <c r="F30" s="625" t="s">
        <v>65</v>
      </c>
      <c r="G30" s="626"/>
      <c r="H30" s="626"/>
      <c r="I30" s="627"/>
      <c r="J30" s="443" t="s">
        <v>5</v>
      </c>
      <c r="K30" s="211">
        <v>0</v>
      </c>
      <c r="L30" s="211">
        <v>24</v>
      </c>
      <c r="M30" s="241">
        <v>0</v>
      </c>
      <c r="N30" s="241">
        <v>0</v>
      </c>
      <c r="O30" s="211">
        <v>0</v>
      </c>
      <c r="P30" s="211">
        <v>0</v>
      </c>
      <c r="Q30" s="241">
        <v>0</v>
      </c>
      <c r="R30" s="241">
        <v>0</v>
      </c>
      <c r="S30" s="211">
        <v>0</v>
      </c>
      <c r="T30" s="241">
        <f>K30*$C$12+M30+((O30*$C$12+Q30)*S30)</f>
        <v>0</v>
      </c>
      <c r="U30" s="241">
        <f>L30*$C$12+N30+((P30*$C$12+R30)*S30)</f>
        <v>2400</v>
      </c>
      <c r="V30" s="242">
        <f>K30+(O30*S30)</f>
        <v>0</v>
      </c>
      <c r="W30" s="242">
        <f>L30+(P30*S30)</f>
        <v>24</v>
      </c>
      <c r="X30" s="205" t="s">
        <v>303</v>
      </c>
      <c r="Y30" s="198" t="s">
        <v>472</v>
      </c>
      <c r="Z30" s="332"/>
      <c r="AA30" s="198"/>
      <c r="AB30" s="198"/>
      <c r="AC30" s="198"/>
      <c r="AD30" s="198"/>
      <c r="AE30" s="198"/>
    </row>
    <row r="31" spans="1:31" s="202" customFormat="1" ht="36" customHeight="1">
      <c r="A31" s="198">
        <f>A30+0.1</f>
        <v>1.2000000000000002</v>
      </c>
      <c r="B31" s="198" t="s">
        <v>2</v>
      </c>
      <c r="C31" s="198"/>
      <c r="D31" s="262" t="s">
        <v>62</v>
      </c>
      <c r="E31" s="198" t="s">
        <v>70</v>
      </c>
      <c r="F31" s="662" t="s">
        <v>66</v>
      </c>
      <c r="G31" s="663"/>
      <c r="H31" s="663"/>
      <c r="I31" s="664"/>
      <c r="J31" s="443" t="s">
        <v>5</v>
      </c>
      <c r="K31" s="211">
        <v>0</v>
      </c>
      <c r="L31" s="211">
        <v>0</v>
      </c>
      <c r="M31" s="211">
        <v>0</v>
      </c>
      <c r="N31" s="211">
        <v>0</v>
      </c>
      <c r="O31" s="211">
        <v>0</v>
      </c>
      <c r="P31" s="211">
        <v>0</v>
      </c>
      <c r="Q31" s="211">
        <v>0</v>
      </c>
      <c r="R31" s="211">
        <v>0</v>
      </c>
      <c r="S31" s="211">
        <v>0</v>
      </c>
      <c r="T31" s="241">
        <f>K31*$C$12+M31+((O31*$C$12+Q31)*S31)</f>
        <v>0</v>
      </c>
      <c r="U31" s="241">
        <f>L31*$C$12+N31+((P31*$C$12+R31)*S31)</f>
        <v>0</v>
      </c>
      <c r="V31" s="242">
        <f>K31+(O31*S31)</f>
        <v>0</v>
      </c>
      <c r="W31" s="242">
        <f>L31+(P31*S31)</f>
        <v>0</v>
      </c>
      <c r="X31" s="205" t="s">
        <v>326</v>
      </c>
      <c r="Y31" s="198" t="s">
        <v>472</v>
      </c>
      <c r="Z31" s="332"/>
      <c r="AA31" s="198"/>
      <c r="AB31" s="198"/>
      <c r="AC31" s="198"/>
      <c r="AD31" s="198"/>
      <c r="AE31" s="198"/>
    </row>
    <row r="32" spans="1:31" s="202" customFormat="1" ht="42">
      <c r="A32" s="198">
        <f>A31+0.1</f>
        <v>1.3000000000000003</v>
      </c>
      <c r="B32" s="198" t="s">
        <v>2</v>
      </c>
      <c r="C32" s="198"/>
      <c r="D32" s="209" t="s">
        <v>61</v>
      </c>
      <c r="E32" s="198" t="s">
        <v>70</v>
      </c>
      <c r="F32" s="656" t="s">
        <v>226</v>
      </c>
      <c r="G32" s="657"/>
      <c r="H32" s="657"/>
      <c r="I32" s="658"/>
      <c r="J32" s="443" t="s">
        <v>6</v>
      </c>
      <c r="K32" s="211">
        <v>0</v>
      </c>
      <c r="L32" s="211">
        <v>0</v>
      </c>
      <c r="M32" s="241">
        <v>0</v>
      </c>
      <c r="N32" s="241">
        <v>0</v>
      </c>
      <c r="O32" s="211">
        <v>0</v>
      </c>
      <c r="P32" s="211">
        <v>4</v>
      </c>
      <c r="Q32" s="241">
        <v>0</v>
      </c>
      <c r="R32" s="241">
        <v>0</v>
      </c>
      <c r="S32" s="211">
        <v>5</v>
      </c>
      <c r="T32" s="269">
        <f>K32*$C$12+M32+((O32*$C$12+Q32)*S32)</f>
        <v>0</v>
      </c>
      <c r="U32" s="269">
        <f>L32*$C$12+N32+((P32*$C$12+R32)*S32)</f>
        <v>2000</v>
      </c>
      <c r="V32" s="270">
        <f>K32+(O32*S32)</f>
        <v>0</v>
      </c>
      <c r="W32" s="270">
        <f>L32+(P32*S32)</f>
        <v>20</v>
      </c>
      <c r="X32" s="205" t="s">
        <v>304</v>
      </c>
      <c r="Y32" s="198" t="s">
        <v>472</v>
      </c>
      <c r="Z32" s="332"/>
      <c r="AA32" s="198"/>
      <c r="AB32" s="198"/>
      <c r="AC32" s="198"/>
      <c r="AD32" s="198"/>
      <c r="AE32" s="198"/>
    </row>
    <row r="33" spans="1:25" s="213" customFormat="1" ht="36" customHeight="1">
      <c r="A33" s="188">
        <v>2</v>
      </c>
      <c r="B33" s="188"/>
      <c r="C33" s="188"/>
      <c r="D33" s="188"/>
      <c r="E33" s="188"/>
      <c r="F33" s="628" t="s">
        <v>67</v>
      </c>
      <c r="G33" s="629"/>
      <c r="H33" s="629"/>
      <c r="I33" s="630"/>
      <c r="J33" s="705" t="s">
        <v>13</v>
      </c>
      <c r="K33" s="238"/>
      <c r="L33" s="238"/>
      <c r="M33" s="239"/>
      <c r="N33" s="239"/>
      <c r="O33" s="238"/>
      <c r="P33" s="238"/>
      <c r="Q33" s="239"/>
      <c r="R33" s="239"/>
      <c r="S33" s="238"/>
      <c r="T33" s="238"/>
      <c r="U33" s="238"/>
      <c r="V33" s="243"/>
      <c r="W33" s="243"/>
      <c r="X33" s="240"/>
      <c r="Y33" s="240"/>
    </row>
    <row r="34" spans="1:31" s="202" customFormat="1" ht="36" customHeight="1">
      <c r="A34" s="198">
        <f>A33+0.1</f>
        <v>2.1</v>
      </c>
      <c r="B34" s="198" t="s">
        <v>86</v>
      </c>
      <c r="C34" s="198" t="s">
        <v>58</v>
      </c>
      <c r="D34" s="199" t="s">
        <v>60</v>
      </c>
      <c r="E34" s="198"/>
      <c r="F34" s="625" t="s">
        <v>227</v>
      </c>
      <c r="G34" s="626"/>
      <c r="H34" s="626"/>
      <c r="I34" s="627"/>
      <c r="J34" s="12" t="s">
        <v>611</v>
      </c>
      <c r="K34" s="211">
        <v>0</v>
      </c>
      <c r="L34" s="211">
        <v>0</v>
      </c>
      <c r="M34" s="204">
        <v>0</v>
      </c>
      <c r="N34" s="204">
        <v>0</v>
      </c>
      <c r="O34" s="211">
        <v>0</v>
      </c>
      <c r="P34" s="211">
        <v>0</v>
      </c>
      <c r="Q34" s="204">
        <v>0</v>
      </c>
      <c r="R34" s="204">
        <v>0</v>
      </c>
      <c r="S34" s="211">
        <v>0</v>
      </c>
      <c r="T34" s="241">
        <f>K34*$C$12+M34+((O34*$C$12+Q34)*S34)</f>
        <v>0</v>
      </c>
      <c r="U34" s="241">
        <f>L34*$C$12+N34+((P34*$C$12+R34)*S34)</f>
        <v>0</v>
      </c>
      <c r="V34" s="242">
        <f>K34+(O34*S34)</f>
        <v>0</v>
      </c>
      <c r="W34" s="242">
        <f>L34+(P34*S34)</f>
        <v>0</v>
      </c>
      <c r="X34" s="207" t="s">
        <v>328</v>
      </c>
      <c r="Y34" s="198" t="s">
        <v>472</v>
      </c>
      <c r="Z34" s="332"/>
      <c r="AA34" s="198"/>
      <c r="AB34" s="198"/>
      <c r="AC34" s="198"/>
      <c r="AD34" s="198"/>
      <c r="AE34" s="198"/>
    </row>
    <row r="35" spans="1:31" s="202" customFormat="1" ht="36" customHeight="1">
      <c r="A35" s="198">
        <f>A34+0.1</f>
        <v>2.2</v>
      </c>
      <c r="B35" s="198" t="s">
        <v>2</v>
      </c>
      <c r="C35" s="198"/>
      <c r="D35" s="262" t="s">
        <v>62</v>
      </c>
      <c r="E35" s="198" t="s">
        <v>70</v>
      </c>
      <c r="F35" s="662" t="s">
        <v>71</v>
      </c>
      <c r="G35" s="663"/>
      <c r="H35" s="663"/>
      <c r="I35" s="664"/>
      <c r="J35" s="12" t="s">
        <v>14</v>
      </c>
      <c r="K35" s="211">
        <v>0</v>
      </c>
      <c r="L35" s="211">
        <v>0</v>
      </c>
      <c r="M35" s="241">
        <v>0</v>
      </c>
      <c r="N35" s="241">
        <v>0</v>
      </c>
      <c r="O35" s="211">
        <v>0</v>
      </c>
      <c r="P35" s="211">
        <v>16</v>
      </c>
      <c r="Q35" s="241">
        <v>0</v>
      </c>
      <c r="R35" s="241">
        <v>0</v>
      </c>
      <c r="S35" s="211">
        <v>5</v>
      </c>
      <c r="T35" s="241">
        <f>K35*$C$12+M35+((O35*$C$12+Q35)*S35)</f>
        <v>0</v>
      </c>
      <c r="U35" s="241">
        <f>L35*$C$12+N35+((P35*$C$12+R35)*S35)</f>
        <v>8000</v>
      </c>
      <c r="V35" s="242">
        <f>K35+(O35*S35)</f>
        <v>0</v>
      </c>
      <c r="W35" s="242">
        <f>L35+(P35*S35)</f>
        <v>80</v>
      </c>
      <c r="Y35" s="198" t="s">
        <v>472</v>
      </c>
      <c r="Z35" s="332"/>
      <c r="AA35" s="198"/>
      <c r="AB35" s="198"/>
      <c r="AC35" s="198"/>
      <c r="AD35" s="198"/>
      <c r="AE35" s="198"/>
    </row>
    <row r="36" spans="1:31" s="202" customFormat="1" ht="36" customHeight="1">
      <c r="A36" s="198">
        <f>A35+0.1</f>
        <v>2.3000000000000003</v>
      </c>
      <c r="B36" s="198" t="s">
        <v>143</v>
      </c>
      <c r="C36" s="198" t="s">
        <v>72</v>
      </c>
      <c r="D36" s="199" t="s">
        <v>60</v>
      </c>
      <c r="E36" s="198"/>
      <c r="F36" s="622" t="s">
        <v>74</v>
      </c>
      <c r="G36" s="623"/>
      <c r="H36" s="623"/>
      <c r="I36" s="624"/>
      <c r="J36" s="12" t="s">
        <v>14</v>
      </c>
      <c r="K36" s="211">
        <v>0</v>
      </c>
      <c r="L36" s="211">
        <v>0</v>
      </c>
      <c r="M36" s="211">
        <v>0</v>
      </c>
      <c r="N36" s="211">
        <v>0</v>
      </c>
      <c r="O36" s="211">
        <v>0</v>
      </c>
      <c r="P36" s="211">
        <v>0</v>
      </c>
      <c r="Q36" s="211">
        <v>0</v>
      </c>
      <c r="R36" s="211">
        <v>0</v>
      </c>
      <c r="S36" s="211">
        <v>0</v>
      </c>
      <c r="T36" s="241">
        <f>K36*$C$12+M36+((O36*$C$12+Q36)*S36)</f>
        <v>0</v>
      </c>
      <c r="U36" s="241">
        <f>L36*$C$12+N36+((P36*$C$12+R36)*S36)</f>
        <v>0</v>
      </c>
      <c r="V36" s="242">
        <f>K36+(O36*S36)</f>
        <v>0</v>
      </c>
      <c r="W36" s="242">
        <f>L36+(P36*S36)</f>
        <v>0</v>
      </c>
      <c r="X36" s="202" t="s">
        <v>305</v>
      </c>
      <c r="Y36" s="198" t="s">
        <v>472</v>
      </c>
      <c r="Z36" s="332"/>
      <c r="AA36" s="198"/>
      <c r="AB36" s="198"/>
      <c r="AC36" s="198"/>
      <c r="AD36" s="198"/>
      <c r="AE36" s="198"/>
    </row>
    <row r="37" spans="1:25" s="213" customFormat="1" ht="36" customHeight="1">
      <c r="A37" s="188">
        <v>3</v>
      </c>
      <c r="B37" s="188"/>
      <c r="C37" s="188"/>
      <c r="D37" s="188"/>
      <c r="E37" s="188"/>
      <c r="F37" s="628" t="s">
        <v>73</v>
      </c>
      <c r="G37" s="629"/>
      <c r="H37" s="629"/>
      <c r="I37" s="630"/>
      <c r="J37" s="705" t="s">
        <v>7</v>
      </c>
      <c r="K37" s="238"/>
      <c r="L37" s="238"/>
      <c r="M37" s="239"/>
      <c r="N37" s="239"/>
      <c r="O37" s="238"/>
      <c r="P37" s="238"/>
      <c r="Q37" s="239"/>
      <c r="R37" s="239"/>
      <c r="S37" s="238"/>
      <c r="T37" s="238"/>
      <c r="U37" s="238"/>
      <c r="V37" s="243"/>
      <c r="W37" s="243"/>
      <c r="X37" s="240"/>
      <c r="Y37" s="240"/>
    </row>
    <row r="38" spans="1:31" s="202" customFormat="1" ht="126">
      <c r="A38" s="198">
        <v>3.1</v>
      </c>
      <c r="B38" s="198" t="s">
        <v>144</v>
      </c>
      <c r="C38" s="198" t="s">
        <v>76</v>
      </c>
      <c r="D38" s="201" t="s">
        <v>145</v>
      </c>
      <c r="E38" s="198"/>
      <c r="F38" s="625" t="s">
        <v>82</v>
      </c>
      <c r="G38" s="626"/>
      <c r="H38" s="626"/>
      <c r="I38" s="627"/>
      <c r="J38" s="443" t="s">
        <v>81</v>
      </c>
      <c r="K38" s="333">
        <v>60</v>
      </c>
      <c r="L38" s="211">
        <f>C3/25*8*2+(C3/25*2)</f>
        <v>180</v>
      </c>
      <c r="M38" s="241">
        <v>0</v>
      </c>
      <c r="N38" s="241">
        <f>C3/25*50</f>
        <v>500</v>
      </c>
      <c r="O38" s="211">
        <v>0</v>
      </c>
      <c r="P38" s="211">
        <v>0</v>
      </c>
      <c r="Q38" s="653">
        <v>0</v>
      </c>
      <c r="R38" s="653"/>
      <c r="S38" s="211">
        <v>0</v>
      </c>
      <c r="T38" s="245">
        <f>K38*$C$12+M38+((O38*$C$12+Q38)*S38)</f>
        <v>6000</v>
      </c>
      <c r="U38" s="241">
        <f aca="true" t="shared" si="0" ref="U38:U43">L38*$C$12+N38+((P38*$C$12+R38)*S38)</f>
        <v>18500</v>
      </c>
      <c r="V38" s="242">
        <f aca="true" t="shared" si="1" ref="V38:V43">K38+(O38*S38)</f>
        <v>60</v>
      </c>
      <c r="W38" s="242">
        <f aca="true" t="shared" si="2" ref="W38:W43">L38+(P38*S38)</f>
        <v>180</v>
      </c>
      <c r="X38" s="205" t="s">
        <v>358</v>
      </c>
      <c r="Y38" s="207" t="s">
        <v>327</v>
      </c>
      <c r="Z38" s="348" t="s">
        <v>553</v>
      </c>
      <c r="AA38" s="198"/>
      <c r="AB38" s="198"/>
      <c r="AC38" s="198"/>
      <c r="AD38" s="198"/>
      <c r="AE38" s="198"/>
    </row>
    <row r="39" spans="1:32" s="202" customFormat="1" ht="36" customHeight="1">
      <c r="A39" s="198">
        <f>A38+0.1</f>
        <v>3.2</v>
      </c>
      <c r="B39" s="198" t="s">
        <v>144</v>
      </c>
      <c r="C39" s="198" t="s">
        <v>76</v>
      </c>
      <c r="D39" s="199" t="s">
        <v>60</v>
      </c>
      <c r="F39" s="622" t="s">
        <v>75</v>
      </c>
      <c r="G39" s="623"/>
      <c r="H39" s="623"/>
      <c r="I39" s="624"/>
      <c r="J39" s="443" t="s">
        <v>8</v>
      </c>
      <c r="K39" s="211">
        <f>C2/20*8</f>
        <v>10</v>
      </c>
      <c r="L39" s="211">
        <v>10</v>
      </c>
      <c r="M39" s="204">
        <v>0</v>
      </c>
      <c r="N39" s="204">
        <v>0</v>
      </c>
      <c r="O39" s="211">
        <v>0</v>
      </c>
      <c r="P39" s="211">
        <v>0</v>
      </c>
      <c r="Q39" s="204">
        <v>0</v>
      </c>
      <c r="R39" s="204">
        <v>0</v>
      </c>
      <c r="S39" s="211">
        <v>0</v>
      </c>
      <c r="T39" s="241">
        <f>K39*$C$12+M39+(((O39*$C$12)+Q39)*S39)</f>
        <v>1000</v>
      </c>
      <c r="U39" s="241">
        <f t="shared" si="0"/>
        <v>1000</v>
      </c>
      <c r="V39" s="242">
        <f t="shared" si="1"/>
        <v>10</v>
      </c>
      <c r="W39" s="242">
        <f t="shared" si="2"/>
        <v>10</v>
      </c>
      <c r="X39" s="205" t="s">
        <v>306</v>
      </c>
      <c r="Y39" s="202" t="s">
        <v>295</v>
      </c>
      <c r="Z39" s="420" t="s">
        <v>554</v>
      </c>
      <c r="AA39" s="198"/>
      <c r="AB39" s="198"/>
      <c r="AC39" s="198"/>
      <c r="AD39" s="198"/>
      <c r="AE39" s="198"/>
      <c r="AF39" s="198"/>
    </row>
    <row r="40" spans="1:32" s="202" customFormat="1" ht="42" customHeight="1">
      <c r="A40" s="198">
        <f>A39+0.1</f>
        <v>3.3000000000000003</v>
      </c>
      <c r="B40" s="198" t="s">
        <v>144</v>
      </c>
      <c r="C40" s="198" t="s">
        <v>76</v>
      </c>
      <c r="D40" s="201" t="s">
        <v>145</v>
      </c>
      <c r="F40" s="625" t="s">
        <v>77</v>
      </c>
      <c r="G40" s="626"/>
      <c r="H40" s="626"/>
      <c r="I40" s="627"/>
      <c r="J40" s="443" t="s">
        <v>9</v>
      </c>
      <c r="K40" s="211">
        <v>0</v>
      </c>
      <c r="L40" s="211">
        <v>20</v>
      </c>
      <c r="M40" s="204">
        <v>0</v>
      </c>
      <c r="N40" s="204">
        <v>0</v>
      </c>
      <c r="O40" s="211">
        <v>0</v>
      </c>
      <c r="P40" s="211">
        <v>0</v>
      </c>
      <c r="Q40" s="204">
        <v>0</v>
      </c>
      <c r="R40" s="204">
        <v>0</v>
      </c>
      <c r="S40" s="211">
        <v>0</v>
      </c>
      <c r="T40" s="241">
        <f>K40*$C$12+M40+((O40*$C$12+Q40)*S40)</f>
        <v>0</v>
      </c>
      <c r="U40" s="241">
        <f t="shared" si="0"/>
        <v>2000</v>
      </c>
      <c r="V40" s="242">
        <f t="shared" si="1"/>
        <v>0</v>
      </c>
      <c r="W40" s="242">
        <f t="shared" si="2"/>
        <v>20</v>
      </c>
      <c r="X40" s="205" t="s">
        <v>307</v>
      </c>
      <c r="Y40" s="198" t="s">
        <v>472</v>
      </c>
      <c r="Z40" s="332"/>
      <c r="AA40" s="198"/>
      <c r="AB40" s="198"/>
      <c r="AC40" s="198"/>
      <c r="AD40" s="198"/>
      <c r="AE40" s="198"/>
      <c r="AF40" s="198"/>
    </row>
    <row r="41" spans="1:32" s="202" customFormat="1" ht="36" customHeight="1">
      <c r="A41" s="198">
        <f>A40+0.1</f>
        <v>3.4000000000000004</v>
      </c>
      <c r="B41" s="198" t="s">
        <v>144</v>
      </c>
      <c r="C41" s="207" t="s">
        <v>78</v>
      </c>
      <c r="D41" s="207" t="s">
        <v>78</v>
      </c>
      <c r="F41" s="198"/>
      <c r="G41" s="654" t="s">
        <v>79</v>
      </c>
      <c r="H41" s="654"/>
      <c r="I41" s="654"/>
      <c r="J41" s="443" t="s">
        <v>10</v>
      </c>
      <c r="K41" s="211">
        <v>0</v>
      </c>
      <c r="L41" s="211">
        <v>0</v>
      </c>
      <c r="M41" s="204">
        <v>0</v>
      </c>
      <c r="N41" s="204">
        <v>0</v>
      </c>
      <c r="O41" s="211">
        <v>0</v>
      </c>
      <c r="P41" s="211">
        <v>0</v>
      </c>
      <c r="Q41" s="204">
        <v>0</v>
      </c>
      <c r="R41" s="204">
        <v>0</v>
      </c>
      <c r="S41" s="211">
        <v>0</v>
      </c>
      <c r="T41" s="241">
        <f>K41*$C$12+M41+((O41*$C$12+Q41)*S41)</f>
        <v>0</v>
      </c>
      <c r="U41" s="241">
        <f t="shared" si="0"/>
        <v>0</v>
      </c>
      <c r="V41" s="242">
        <f t="shared" si="1"/>
        <v>0</v>
      </c>
      <c r="W41" s="242">
        <f t="shared" si="2"/>
        <v>0</v>
      </c>
      <c r="X41" s="202" t="s">
        <v>80</v>
      </c>
      <c r="Y41" s="198" t="s">
        <v>472</v>
      </c>
      <c r="Z41" s="391"/>
      <c r="AA41" s="198"/>
      <c r="AB41" s="198"/>
      <c r="AC41" s="198"/>
      <c r="AD41" s="198"/>
      <c r="AE41" s="198"/>
      <c r="AF41" s="198"/>
    </row>
    <row r="42" spans="1:32" s="202" customFormat="1" ht="36" customHeight="1">
      <c r="A42" s="198">
        <f>A41+0.1</f>
        <v>3.5000000000000004</v>
      </c>
      <c r="B42" s="198" t="s">
        <v>144</v>
      </c>
      <c r="C42" s="207"/>
      <c r="D42" s="263" t="s">
        <v>61</v>
      </c>
      <c r="F42" s="656" t="s">
        <v>85</v>
      </c>
      <c r="G42" s="657"/>
      <c r="H42" s="657"/>
      <c r="I42" s="658"/>
      <c r="J42" s="443" t="s">
        <v>11</v>
      </c>
      <c r="K42" s="211">
        <v>0</v>
      </c>
      <c r="L42" s="211">
        <v>0</v>
      </c>
      <c r="M42" s="204">
        <v>0</v>
      </c>
      <c r="N42" s="204">
        <v>0</v>
      </c>
      <c r="O42" s="202">
        <v>0</v>
      </c>
      <c r="P42" s="202">
        <v>20</v>
      </c>
      <c r="Q42" s="204">
        <v>0</v>
      </c>
      <c r="R42" s="204">
        <v>0</v>
      </c>
      <c r="S42" s="202">
        <v>5</v>
      </c>
      <c r="T42" s="269">
        <f>K42*$C$12+M42+((O42*$C$12+Q42)*S42)</f>
        <v>0</v>
      </c>
      <c r="U42" s="269">
        <f t="shared" si="0"/>
        <v>10000</v>
      </c>
      <c r="V42" s="270">
        <f t="shared" si="1"/>
        <v>0</v>
      </c>
      <c r="W42" s="270">
        <f t="shared" si="2"/>
        <v>100</v>
      </c>
      <c r="X42" s="205" t="s">
        <v>539</v>
      </c>
      <c r="Y42" s="198" t="s">
        <v>318</v>
      </c>
      <c r="Z42" s="397" t="s">
        <v>555</v>
      </c>
      <c r="AA42" s="198"/>
      <c r="AB42" s="198"/>
      <c r="AC42" s="198"/>
      <c r="AD42" s="198"/>
      <c r="AE42" s="198"/>
      <c r="AF42" s="198"/>
    </row>
    <row r="43" spans="1:26" s="211" customFormat="1" ht="36" customHeight="1">
      <c r="A43" s="198">
        <f>A42+0.1</f>
        <v>3.6000000000000005</v>
      </c>
      <c r="B43" s="244" t="s">
        <v>2</v>
      </c>
      <c r="C43" s="244"/>
      <c r="D43" s="226" t="s">
        <v>62</v>
      </c>
      <c r="E43" s="211" t="s">
        <v>70</v>
      </c>
      <c r="F43" s="662" t="s">
        <v>83</v>
      </c>
      <c r="G43" s="663"/>
      <c r="H43" s="663"/>
      <c r="I43" s="664"/>
      <c r="J43" s="443" t="s">
        <v>12</v>
      </c>
      <c r="K43" s="211">
        <v>0</v>
      </c>
      <c r="L43" s="211">
        <v>0</v>
      </c>
      <c r="M43" s="211">
        <v>0</v>
      </c>
      <c r="N43" s="211">
        <v>0</v>
      </c>
      <c r="O43" s="211">
        <v>0</v>
      </c>
      <c r="P43" s="211">
        <v>0</v>
      </c>
      <c r="Q43" s="211">
        <v>0</v>
      </c>
      <c r="R43" s="211">
        <v>0</v>
      </c>
      <c r="S43" s="211">
        <v>0</v>
      </c>
      <c r="T43" s="241">
        <f>K43*$C$12+M43+((O43*$C$12+Q43)*S43)</f>
        <v>0</v>
      </c>
      <c r="U43" s="241">
        <f t="shared" si="0"/>
        <v>0</v>
      </c>
      <c r="V43" s="242">
        <f t="shared" si="1"/>
        <v>0</v>
      </c>
      <c r="W43" s="242">
        <f t="shared" si="2"/>
        <v>0</v>
      </c>
      <c r="X43" s="205" t="s">
        <v>290</v>
      </c>
      <c r="Y43" s="198" t="s">
        <v>472</v>
      </c>
      <c r="Z43" s="398"/>
    </row>
    <row r="44" spans="1:25" s="213" customFormat="1" ht="36" customHeight="1">
      <c r="A44" s="188">
        <v>4</v>
      </c>
      <c r="B44" s="188"/>
      <c r="C44" s="188"/>
      <c r="D44" s="188"/>
      <c r="E44" s="188"/>
      <c r="F44" s="628" t="s">
        <v>84</v>
      </c>
      <c r="G44" s="629"/>
      <c r="H44" s="629"/>
      <c r="I44" s="630"/>
      <c r="J44" s="705" t="s">
        <v>612</v>
      </c>
      <c r="K44" s="238"/>
      <c r="L44" s="238"/>
      <c r="M44" s="239"/>
      <c r="N44" s="239"/>
      <c r="O44" s="238"/>
      <c r="P44" s="238"/>
      <c r="Q44" s="239"/>
      <c r="R44" s="239"/>
      <c r="S44" s="238"/>
      <c r="T44" s="238"/>
      <c r="U44" s="238"/>
      <c r="V44" s="243"/>
      <c r="W44" s="243"/>
      <c r="X44" s="240"/>
      <c r="Y44" s="240"/>
    </row>
    <row r="45" spans="1:32" s="202" customFormat="1" ht="36" customHeight="1">
      <c r="A45" s="198">
        <v>4.1</v>
      </c>
      <c r="B45" s="198" t="s">
        <v>2</v>
      </c>
      <c r="C45" s="207" t="s">
        <v>87</v>
      </c>
      <c r="D45" s="201" t="s">
        <v>60</v>
      </c>
      <c r="F45" s="622" t="s">
        <v>88</v>
      </c>
      <c r="G45" s="623"/>
      <c r="H45" s="623"/>
      <c r="I45" s="624"/>
      <c r="J45" s="12" t="s">
        <v>613</v>
      </c>
      <c r="K45" s="211">
        <v>0</v>
      </c>
      <c r="L45" s="211">
        <v>0</v>
      </c>
      <c r="M45" s="245">
        <v>0</v>
      </c>
      <c r="N45" s="245">
        <v>0</v>
      </c>
      <c r="O45" s="244">
        <v>0</v>
      </c>
      <c r="P45" s="244">
        <v>0</v>
      </c>
      <c r="Q45" s="245">
        <v>0</v>
      </c>
      <c r="R45" s="245">
        <v>0</v>
      </c>
      <c r="S45" s="244">
        <v>0</v>
      </c>
      <c r="T45" s="241">
        <f>K45*$C$12+M45+((O45*$C$12+Q45)*S45)</f>
        <v>0</v>
      </c>
      <c r="U45" s="241">
        <f>L45*$C$12+N45+((P45*$C$12+R45)*S45)</f>
        <v>0</v>
      </c>
      <c r="V45" s="242">
        <f>K45+(O45*S45)</f>
        <v>0</v>
      </c>
      <c r="W45" s="242">
        <f>L45+(P45*S45)</f>
        <v>0</v>
      </c>
      <c r="X45" s="205" t="s">
        <v>267</v>
      </c>
      <c r="Y45" s="205" t="s">
        <v>320</v>
      </c>
      <c r="Z45" s="391"/>
      <c r="AA45" s="198"/>
      <c r="AB45" s="198"/>
      <c r="AC45" s="198"/>
      <c r="AD45" s="198"/>
      <c r="AE45" s="198"/>
      <c r="AF45" s="198"/>
    </row>
    <row r="46" spans="1:32" s="202" customFormat="1" ht="36" customHeight="1">
      <c r="A46" s="246">
        <v>4.2</v>
      </c>
      <c r="B46" s="246"/>
      <c r="C46" s="247"/>
      <c r="D46" s="247"/>
      <c r="E46" s="246"/>
      <c r="F46" s="246"/>
      <c r="G46" s="246" t="s">
        <v>100</v>
      </c>
      <c r="H46" s="246"/>
      <c r="I46" s="246"/>
      <c r="J46" s="706" t="s">
        <v>614</v>
      </c>
      <c r="K46" s="248"/>
      <c r="L46" s="248"/>
      <c r="M46" s="249"/>
      <c r="N46" s="249"/>
      <c r="O46" s="248"/>
      <c r="P46" s="248"/>
      <c r="Q46" s="249"/>
      <c r="R46" s="249"/>
      <c r="S46" s="248"/>
      <c r="T46" s="248"/>
      <c r="U46" s="248"/>
      <c r="V46" s="250"/>
      <c r="W46" s="250"/>
      <c r="X46" s="251"/>
      <c r="Y46" s="251"/>
      <c r="Z46" s="391"/>
      <c r="AA46" s="198"/>
      <c r="AB46" s="198"/>
      <c r="AC46" s="198"/>
      <c r="AD46" s="198"/>
      <c r="AE46" s="198"/>
      <c r="AF46" s="198"/>
    </row>
    <row r="47" spans="1:26" s="202" customFormat="1" ht="36" customHeight="1">
      <c r="A47" s="198" t="s">
        <v>120</v>
      </c>
      <c r="B47" s="198" t="s">
        <v>144</v>
      </c>
      <c r="C47" s="207" t="s">
        <v>106</v>
      </c>
      <c r="D47" s="199" t="s">
        <v>60</v>
      </c>
      <c r="F47" s="622" t="s">
        <v>89</v>
      </c>
      <c r="G47" s="623"/>
      <c r="H47" s="623"/>
      <c r="I47" s="624"/>
      <c r="J47" s="12" t="s">
        <v>615</v>
      </c>
      <c r="K47" s="655">
        <v>16</v>
      </c>
      <c r="L47" s="655">
        <v>24</v>
      </c>
      <c r="M47" s="660">
        <v>0</v>
      </c>
      <c r="N47" s="660">
        <v>0</v>
      </c>
      <c r="O47" s="661">
        <v>0</v>
      </c>
      <c r="P47" s="661">
        <v>0</v>
      </c>
      <c r="Q47" s="660">
        <v>0</v>
      </c>
      <c r="R47" s="660">
        <v>0</v>
      </c>
      <c r="S47" s="661">
        <v>0</v>
      </c>
      <c r="T47" s="660">
        <f>K47*$C$12+M47+((O47*$C$12+Q47)*S47)</f>
        <v>1600</v>
      </c>
      <c r="U47" s="660">
        <f>L47*$C$12+N47+((P47*$C$12+R47)*S47)</f>
        <v>2400</v>
      </c>
      <c r="V47" s="665">
        <f>K47+(O47*S47)</f>
        <v>16</v>
      </c>
      <c r="W47" s="665">
        <f>L47+(P47*S47)</f>
        <v>24</v>
      </c>
      <c r="X47" s="659" t="s">
        <v>541</v>
      </c>
      <c r="Y47" s="614" t="s">
        <v>472</v>
      </c>
      <c r="Z47" s="391"/>
    </row>
    <row r="48" spans="1:26" s="202" customFormat="1" ht="55.5">
      <c r="A48" s="198" t="s">
        <v>121</v>
      </c>
      <c r="B48" s="198" t="s">
        <v>144</v>
      </c>
      <c r="C48" s="207" t="s">
        <v>106</v>
      </c>
      <c r="D48" s="199" t="s">
        <v>60</v>
      </c>
      <c r="F48" s="625" t="s">
        <v>90</v>
      </c>
      <c r="G48" s="626"/>
      <c r="H48" s="626"/>
      <c r="I48" s="627"/>
      <c r="J48" s="12" t="s">
        <v>616</v>
      </c>
      <c r="K48" s="655"/>
      <c r="L48" s="655"/>
      <c r="M48" s="660"/>
      <c r="N48" s="660"/>
      <c r="O48" s="661"/>
      <c r="P48" s="661"/>
      <c r="Q48" s="660"/>
      <c r="R48" s="660"/>
      <c r="S48" s="661"/>
      <c r="T48" s="660"/>
      <c r="U48" s="660"/>
      <c r="V48" s="665"/>
      <c r="W48" s="665"/>
      <c r="X48" s="659"/>
      <c r="Y48" s="615"/>
      <c r="Z48" s="397" t="s">
        <v>540</v>
      </c>
    </row>
    <row r="49" spans="1:26" s="202" customFormat="1" ht="42">
      <c r="A49" s="252" t="s">
        <v>122</v>
      </c>
      <c r="B49" s="252" t="s">
        <v>144</v>
      </c>
      <c r="C49" s="252"/>
      <c r="D49" s="264" t="s">
        <v>62</v>
      </c>
      <c r="E49" s="202" t="s">
        <v>70</v>
      </c>
      <c r="F49" s="644" t="s">
        <v>207</v>
      </c>
      <c r="G49" s="645"/>
      <c r="H49" s="645"/>
      <c r="I49" s="646"/>
      <c r="J49" s="12" t="s">
        <v>18</v>
      </c>
      <c r="K49" s="211">
        <v>0</v>
      </c>
      <c r="L49" s="211">
        <v>0</v>
      </c>
      <c r="M49" s="204">
        <v>0</v>
      </c>
      <c r="N49" s="204">
        <v>0</v>
      </c>
      <c r="O49" s="202">
        <v>0</v>
      </c>
      <c r="P49" s="202">
        <v>16</v>
      </c>
      <c r="Q49" s="204">
        <v>0</v>
      </c>
      <c r="R49" s="204">
        <v>0</v>
      </c>
      <c r="S49" s="202">
        <v>5</v>
      </c>
      <c r="T49" s="241">
        <f>K49*$C$12+M49+((O49*$C$12+Q49)*S49)</f>
        <v>0</v>
      </c>
      <c r="U49" s="241">
        <f>L49*$C$12+N49+((P49*$C$12+R49)*S49)</f>
        <v>8000</v>
      </c>
      <c r="V49" s="242">
        <f>K49+(O49*S49)</f>
        <v>0</v>
      </c>
      <c r="W49" s="242">
        <f>L49+(P49*S49)</f>
        <v>80</v>
      </c>
      <c r="X49" s="205" t="s">
        <v>542</v>
      </c>
      <c r="Y49" s="268" t="s">
        <v>472</v>
      </c>
      <c r="Z49" s="397" t="s">
        <v>556</v>
      </c>
    </row>
    <row r="50" spans="1:26" s="202" customFormat="1" ht="36" customHeight="1">
      <c r="A50" s="253">
        <v>4.3</v>
      </c>
      <c r="B50" s="253"/>
      <c r="C50" s="253"/>
      <c r="D50" s="253"/>
      <c r="E50" s="246"/>
      <c r="F50" s="246"/>
      <c r="G50" s="253" t="s">
        <v>91</v>
      </c>
      <c r="H50" s="247"/>
      <c r="I50" s="247"/>
      <c r="J50" s="706" t="s">
        <v>617</v>
      </c>
      <c r="K50" s="248"/>
      <c r="L50" s="248"/>
      <c r="M50" s="249"/>
      <c r="N50" s="249"/>
      <c r="O50" s="248"/>
      <c r="P50" s="248"/>
      <c r="Q50" s="249"/>
      <c r="R50" s="249"/>
      <c r="S50" s="248"/>
      <c r="T50" s="248"/>
      <c r="U50" s="248"/>
      <c r="V50" s="250"/>
      <c r="W50" s="250"/>
      <c r="X50" s="251"/>
      <c r="Y50" s="251"/>
      <c r="Z50" s="391"/>
    </row>
    <row r="51" spans="1:26" s="202" customFormat="1" ht="36" customHeight="1">
      <c r="A51" s="198" t="s">
        <v>124</v>
      </c>
      <c r="B51" s="198" t="s">
        <v>144</v>
      </c>
      <c r="C51" s="198" t="s">
        <v>58</v>
      </c>
      <c r="D51" s="199" t="s">
        <v>60</v>
      </c>
      <c r="F51" s="577" t="s">
        <v>92</v>
      </c>
      <c r="G51" s="621"/>
      <c r="H51" s="621"/>
      <c r="I51" s="578"/>
      <c r="J51" s="12" t="s">
        <v>618</v>
      </c>
      <c r="K51" s="211">
        <v>0</v>
      </c>
      <c r="L51" s="211">
        <v>0</v>
      </c>
      <c r="M51" s="204">
        <v>0</v>
      </c>
      <c r="N51" s="204">
        <v>0</v>
      </c>
      <c r="O51" s="211">
        <v>0</v>
      </c>
      <c r="P51" s="211">
        <v>0</v>
      </c>
      <c r="Q51" s="204">
        <v>0</v>
      </c>
      <c r="R51" s="204">
        <v>0</v>
      </c>
      <c r="S51" s="211">
        <v>0</v>
      </c>
      <c r="T51" s="241">
        <f>K51*$C$12+M51+(((O51*$C$12)+Q51)*S51)</f>
        <v>0</v>
      </c>
      <c r="U51" s="241">
        <f>L51*$C$12+N51+((P51*$C$12+R51)*S51)</f>
        <v>0</v>
      </c>
      <c r="V51" s="242">
        <f aca="true" t="shared" si="3" ref="V51:V56">K51+(O51*S51)</f>
        <v>0</v>
      </c>
      <c r="W51" s="242">
        <f aca="true" t="shared" si="4" ref="W51:W56">L51+(P51*S51)</f>
        <v>0</v>
      </c>
      <c r="X51" s="205" t="s">
        <v>543</v>
      </c>
      <c r="Y51" s="202" t="s">
        <v>296</v>
      </c>
      <c r="Z51" s="397"/>
    </row>
    <row r="52" spans="1:26" s="202" customFormat="1" ht="201" customHeight="1">
      <c r="A52" s="198" t="s">
        <v>125</v>
      </c>
      <c r="B52" s="198" t="s">
        <v>144</v>
      </c>
      <c r="C52" s="198" t="s">
        <v>102</v>
      </c>
      <c r="D52" s="208" t="s">
        <v>148</v>
      </c>
      <c r="F52" s="577" t="s">
        <v>111</v>
      </c>
      <c r="G52" s="621"/>
      <c r="H52" s="621"/>
      <c r="I52" s="578"/>
      <c r="J52" s="12" t="s">
        <v>619</v>
      </c>
      <c r="K52" s="244">
        <f>C2/16*8*2</f>
        <v>25</v>
      </c>
      <c r="L52" s="244">
        <f>K52</f>
        <v>25</v>
      </c>
      <c r="M52" s="241">
        <f>C14+C7*C13</f>
        <v>539.9558333333333</v>
      </c>
      <c r="N52" s="241">
        <f>C14+C7*C13</f>
        <v>539.9558333333333</v>
      </c>
      <c r="O52" s="211">
        <v>16</v>
      </c>
      <c r="P52" s="211">
        <v>24</v>
      </c>
      <c r="Q52" s="283">
        <v>0</v>
      </c>
      <c r="R52" s="283">
        <v>0</v>
      </c>
      <c r="S52" s="211">
        <v>5</v>
      </c>
      <c r="T52" s="241">
        <f>K52*$C$12+M52+(((O52*$C$12)+Q52)*S52)</f>
        <v>11039.955833333333</v>
      </c>
      <c r="U52" s="241">
        <f>L52*$C$12+N52+((P52*$C$12+R52)*S52)</f>
        <v>15039.955833333333</v>
      </c>
      <c r="V52" s="242">
        <f>K52+(O52*S52)</f>
        <v>105</v>
      </c>
      <c r="W52" s="242">
        <f t="shared" si="4"/>
        <v>145</v>
      </c>
      <c r="X52" s="205" t="s">
        <v>548</v>
      </c>
      <c r="Y52" s="207" t="s">
        <v>317</v>
      </c>
      <c r="Z52" s="397" t="s">
        <v>557</v>
      </c>
    </row>
    <row r="53" spans="1:26" s="391" customFormat="1" ht="56.25" customHeight="1">
      <c r="A53" s="332" t="s">
        <v>329</v>
      </c>
      <c r="B53" s="332"/>
      <c r="C53" s="332"/>
      <c r="D53" s="210" t="s">
        <v>61</v>
      </c>
      <c r="F53" s="634" t="s">
        <v>171</v>
      </c>
      <c r="G53" s="635"/>
      <c r="H53" s="635"/>
      <c r="I53" s="636"/>
      <c r="J53" s="12" t="s">
        <v>620</v>
      </c>
      <c r="K53" s="398">
        <v>0</v>
      </c>
      <c r="L53" s="398">
        <v>0</v>
      </c>
      <c r="M53" s="396">
        <v>0</v>
      </c>
      <c r="N53" s="396">
        <v>0</v>
      </c>
      <c r="O53" s="398">
        <v>0</v>
      </c>
      <c r="P53" s="398">
        <f>8*2*C11</f>
        <v>16</v>
      </c>
      <c r="Q53" s="395">
        <v>0</v>
      </c>
      <c r="R53" s="395">
        <f>5*C13*C11</f>
        <v>283.8233333333333</v>
      </c>
      <c r="S53" s="398">
        <v>5</v>
      </c>
      <c r="T53" s="269">
        <f>K53*$C$12+M53+((O53*$C$12+Q53)*S53)</f>
        <v>0</v>
      </c>
      <c r="U53" s="269">
        <f>L53*$C$12+N53+((P53*$C$12+R53)*S53)</f>
        <v>9419.116666666667</v>
      </c>
      <c r="V53" s="270">
        <f>K53+(O53*S53)</f>
        <v>0</v>
      </c>
      <c r="W53" s="270">
        <f>L53+(P53*S53)</f>
        <v>80</v>
      </c>
      <c r="X53" s="225" t="s">
        <v>549</v>
      </c>
      <c r="Y53" s="390" t="s">
        <v>472</v>
      </c>
      <c r="Z53" s="391" t="s">
        <v>533</v>
      </c>
    </row>
    <row r="54" spans="1:26" s="391" customFormat="1" ht="102.75" customHeight="1">
      <c r="A54" s="332" t="s">
        <v>126</v>
      </c>
      <c r="B54" s="332" t="s">
        <v>144</v>
      </c>
      <c r="C54" s="332" t="s">
        <v>113</v>
      </c>
      <c r="D54" s="208" t="s">
        <v>114</v>
      </c>
      <c r="F54" s="566" t="s">
        <v>95</v>
      </c>
      <c r="G54" s="640"/>
      <c r="H54" s="640"/>
      <c r="I54" s="567"/>
      <c r="J54" s="12" t="s">
        <v>621</v>
      </c>
      <c r="K54" s="398">
        <f>C9/5*8/10*5</f>
        <v>4</v>
      </c>
      <c r="L54" s="398">
        <f>C10/5*8/10*5</f>
        <v>16</v>
      </c>
      <c r="M54" s="396">
        <f>C9*C13/10*5</f>
        <v>141.91166666666666</v>
      </c>
      <c r="N54" s="396">
        <f>C10*C13/10*5</f>
        <v>567.6466666666666</v>
      </c>
      <c r="O54" s="254">
        <v>0</v>
      </c>
      <c r="P54" s="399">
        <v>0</v>
      </c>
      <c r="Q54" s="395">
        <v>0</v>
      </c>
      <c r="R54" s="395">
        <v>0</v>
      </c>
      <c r="S54" s="255">
        <v>0</v>
      </c>
      <c r="T54" s="396">
        <f>(K54*$C$12+M54+((O54*$C$12+Q54)*S54))</f>
        <v>541.9116666666666</v>
      </c>
      <c r="U54" s="396">
        <f>(L54*$C$12+N54+((P54*$C$12+R54)*S54))</f>
        <v>2167.6466666666665</v>
      </c>
      <c r="V54" s="399">
        <f>K54+(O54*S54)</f>
        <v>4</v>
      </c>
      <c r="W54" s="399">
        <f>L54+(P54*S54)</f>
        <v>16</v>
      </c>
      <c r="X54" s="397" t="s">
        <v>544</v>
      </c>
      <c r="Y54" s="390" t="s">
        <v>472</v>
      </c>
      <c r="Z54" s="257" t="s">
        <v>534</v>
      </c>
    </row>
    <row r="55" spans="1:26" s="202" customFormat="1" ht="36" customHeight="1">
      <c r="A55" s="198" t="s">
        <v>123</v>
      </c>
      <c r="B55" s="198" t="s">
        <v>144</v>
      </c>
      <c r="C55" s="207" t="s">
        <v>146</v>
      </c>
      <c r="D55" s="199" t="s">
        <v>60</v>
      </c>
      <c r="F55" s="577" t="s">
        <v>147</v>
      </c>
      <c r="G55" s="621"/>
      <c r="H55" s="621"/>
      <c r="I55" s="578"/>
      <c r="J55" s="12" t="s">
        <v>622</v>
      </c>
      <c r="K55" s="205">
        <v>0</v>
      </c>
      <c r="L55" s="205">
        <v>0</v>
      </c>
      <c r="M55" s="205">
        <v>0</v>
      </c>
      <c r="N55" s="205">
        <v>0</v>
      </c>
      <c r="O55" s="205">
        <v>0</v>
      </c>
      <c r="P55" s="205">
        <v>0</v>
      </c>
      <c r="Q55" s="205">
        <v>0</v>
      </c>
      <c r="R55" s="205">
        <v>0</v>
      </c>
      <c r="S55" s="205">
        <v>0</v>
      </c>
      <c r="T55" s="241">
        <f>K55*$C$12+M55+((O55*$C$12+Q55)*S55)</f>
        <v>0</v>
      </c>
      <c r="U55" s="241">
        <f>L55*$C$12+N55+((P55*$C$12+R55)*S55)</f>
        <v>0</v>
      </c>
      <c r="V55" s="242">
        <f t="shared" si="3"/>
        <v>0</v>
      </c>
      <c r="W55" s="242">
        <f t="shared" si="4"/>
        <v>0</v>
      </c>
      <c r="X55" s="205" t="s">
        <v>308</v>
      </c>
      <c r="Y55" s="268" t="s">
        <v>472</v>
      </c>
      <c r="Z55" s="391"/>
    </row>
    <row r="56" spans="1:26" s="202" customFormat="1" ht="36" customHeight="1">
      <c r="A56" s="198" t="s">
        <v>127</v>
      </c>
      <c r="B56" s="198" t="s">
        <v>2</v>
      </c>
      <c r="C56" s="198"/>
      <c r="D56" s="262" t="s">
        <v>62</v>
      </c>
      <c r="E56" s="202" t="s">
        <v>70</v>
      </c>
      <c r="F56" s="631" t="s">
        <v>217</v>
      </c>
      <c r="G56" s="632"/>
      <c r="H56" s="632"/>
      <c r="I56" s="633"/>
      <c r="J56" s="12" t="s">
        <v>623</v>
      </c>
      <c r="K56" s="205">
        <v>0</v>
      </c>
      <c r="L56" s="205">
        <v>0</v>
      </c>
      <c r="M56" s="205">
        <v>0</v>
      </c>
      <c r="N56" s="205">
        <v>0</v>
      </c>
      <c r="O56" s="205">
        <v>0</v>
      </c>
      <c r="P56" s="205">
        <v>0</v>
      </c>
      <c r="Q56" s="205">
        <v>0</v>
      </c>
      <c r="R56" s="205">
        <v>0</v>
      </c>
      <c r="S56" s="205">
        <v>0</v>
      </c>
      <c r="T56" s="241">
        <f>K56*$C$12+M56+((O56*$C$12+Q56)*S56)</f>
        <v>0</v>
      </c>
      <c r="U56" s="241">
        <f>L56*$C$12+N56+((P56*$C$12+R56)*S56)</f>
        <v>0</v>
      </c>
      <c r="V56" s="242">
        <f t="shared" si="3"/>
        <v>0</v>
      </c>
      <c r="W56" s="242">
        <f t="shared" si="4"/>
        <v>0</v>
      </c>
      <c r="X56" s="205" t="s">
        <v>309</v>
      </c>
      <c r="Y56" s="268" t="s">
        <v>472</v>
      </c>
      <c r="Z56" s="391"/>
    </row>
    <row r="57" spans="1:26" s="202" customFormat="1" ht="36" customHeight="1">
      <c r="A57" s="246">
        <v>4.4</v>
      </c>
      <c r="B57" s="246"/>
      <c r="C57" s="246"/>
      <c r="D57" s="246"/>
      <c r="E57" s="246"/>
      <c r="F57" s="246"/>
      <c r="G57" s="246" t="s">
        <v>93</v>
      </c>
      <c r="H57" s="246"/>
      <c r="I57" s="246"/>
      <c r="J57" s="706" t="s">
        <v>624</v>
      </c>
      <c r="K57" s="248"/>
      <c r="L57" s="248"/>
      <c r="M57" s="249"/>
      <c r="N57" s="249"/>
      <c r="O57" s="248"/>
      <c r="P57" s="248"/>
      <c r="Q57" s="249"/>
      <c r="R57" s="249"/>
      <c r="S57" s="248"/>
      <c r="T57" s="248"/>
      <c r="U57" s="248"/>
      <c r="V57" s="250"/>
      <c r="W57" s="250"/>
      <c r="X57" s="251"/>
      <c r="Y57" s="251"/>
      <c r="Z57" s="391"/>
    </row>
    <row r="58" spans="1:26" s="202" customFormat="1" ht="36" customHeight="1">
      <c r="A58" s="198" t="s">
        <v>128</v>
      </c>
      <c r="B58" s="198" t="s">
        <v>144</v>
      </c>
      <c r="C58" s="198" t="s">
        <v>58</v>
      </c>
      <c r="D58" s="199" t="s">
        <v>60</v>
      </c>
      <c r="F58" s="577" t="s">
        <v>105</v>
      </c>
      <c r="G58" s="621"/>
      <c r="H58" s="621"/>
      <c r="I58" s="578"/>
      <c r="J58" s="12" t="s">
        <v>624</v>
      </c>
      <c r="K58" s="211">
        <v>0</v>
      </c>
      <c r="L58" s="211">
        <v>0</v>
      </c>
      <c r="M58" s="211">
        <v>0</v>
      </c>
      <c r="N58" s="244">
        <v>0</v>
      </c>
      <c r="O58" s="244">
        <v>0</v>
      </c>
      <c r="P58" s="244">
        <v>0</v>
      </c>
      <c r="Q58" s="211">
        <v>0</v>
      </c>
      <c r="R58" s="244">
        <v>0</v>
      </c>
      <c r="S58" s="244">
        <v>0</v>
      </c>
      <c r="T58" s="241">
        <f aca="true" t="shared" si="5" ref="T58:T67">K58*$C$12+M58+((O58*$C$12+Q58)*S58)</f>
        <v>0</v>
      </c>
      <c r="U58" s="241">
        <f aca="true" t="shared" si="6" ref="U58:U67">L58*$C$12+N58+((P58*$C$12+R58)*S58)</f>
        <v>0</v>
      </c>
      <c r="V58" s="242">
        <f aca="true" t="shared" si="7" ref="V58:V67">K58+(O58*S58)</f>
        <v>0</v>
      </c>
      <c r="W58" s="242">
        <f aca="true" t="shared" si="8" ref="W58:W67">L58+(P58*S58)</f>
        <v>0</v>
      </c>
      <c r="X58" s="205" t="s">
        <v>321</v>
      </c>
      <c r="Y58" s="268" t="s">
        <v>472</v>
      </c>
      <c r="Z58" s="391"/>
    </row>
    <row r="59" spans="1:26" s="202" customFormat="1" ht="55.5">
      <c r="A59" s="198" t="s">
        <v>129</v>
      </c>
      <c r="B59" s="198" t="s">
        <v>144</v>
      </c>
      <c r="C59" s="207" t="s">
        <v>106</v>
      </c>
      <c r="D59" s="201" t="s">
        <v>60</v>
      </c>
      <c r="F59" s="577" t="s">
        <v>224</v>
      </c>
      <c r="G59" s="621"/>
      <c r="H59" s="621"/>
      <c r="I59" s="578"/>
      <c r="J59" s="12" t="s">
        <v>625</v>
      </c>
      <c r="K59" s="211">
        <v>16</v>
      </c>
      <c r="L59" s="211">
        <v>40</v>
      </c>
      <c r="M59" s="204">
        <v>0</v>
      </c>
      <c r="N59" s="204">
        <v>0</v>
      </c>
      <c r="O59" s="211">
        <v>0</v>
      </c>
      <c r="P59" s="244">
        <v>0</v>
      </c>
      <c r="Q59" s="204">
        <v>0</v>
      </c>
      <c r="R59" s="204">
        <v>0</v>
      </c>
      <c r="S59" s="211">
        <v>0</v>
      </c>
      <c r="T59" s="241">
        <f t="shared" si="5"/>
        <v>1600</v>
      </c>
      <c r="U59" s="241">
        <f t="shared" si="6"/>
        <v>4000</v>
      </c>
      <c r="V59" s="242">
        <f t="shared" si="7"/>
        <v>16</v>
      </c>
      <c r="W59" s="242">
        <f t="shared" si="8"/>
        <v>40</v>
      </c>
      <c r="X59" s="205" t="s">
        <v>545</v>
      </c>
      <c r="Y59" s="206" t="s">
        <v>472</v>
      </c>
      <c r="Z59" s="397" t="s">
        <v>546</v>
      </c>
    </row>
    <row r="60" spans="1:26" s="202" customFormat="1" ht="36" customHeight="1">
      <c r="A60" s="198" t="s">
        <v>130</v>
      </c>
      <c r="B60" s="198" t="s">
        <v>2</v>
      </c>
      <c r="C60" s="198"/>
      <c r="D60" s="262" t="s">
        <v>62</v>
      </c>
      <c r="E60" s="202" t="s">
        <v>70</v>
      </c>
      <c r="F60" s="637" t="s">
        <v>94</v>
      </c>
      <c r="G60" s="638"/>
      <c r="H60" s="638"/>
      <c r="I60" s="639"/>
      <c r="J60" s="12" t="s">
        <v>625</v>
      </c>
      <c r="K60" s="211">
        <v>0</v>
      </c>
      <c r="L60" s="211">
        <v>0</v>
      </c>
      <c r="M60" s="211">
        <v>0</v>
      </c>
      <c r="N60" s="244">
        <v>0</v>
      </c>
      <c r="O60" s="244">
        <v>0</v>
      </c>
      <c r="P60" s="244">
        <v>0</v>
      </c>
      <c r="Q60" s="211">
        <v>0</v>
      </c>
      <c r="R60" s="244">
        <v>0</v>
      </c>
      <c r="S60" s="244">
        <v>0</v>
      </c>
      <c r="T60" s="241">
        <f t="shared" si="5"/>
        <v>0</v>
      </c>
      <c r="U60" s="241">
        <f t="shared" si="6"/>
        <v>0</v>
      </c>
      <c r="V60" s="242">
        <f t="shared" si="7"/>
        <v>0</v>
      </c>
      <c r="W60" s="242">
        <f t="shared" si="8"/>
        <v>0</v>
      </c>
      <c r="X60" s="205" t="s">
        <v>290</v>
      </c>
      <c r="Y60" s="268" t="s">
        <v>472</v>
      </c>
      <c r="Z60" s="332"/>
    </row>
    <row r="61" spans="1:26" s="391" customFormat="1" ht="39" customHeight="1">
      <c r="A61" s="332" t="s">
        <v>131</v>
      </c>
      <c r="B61" s="332" t="s">
        <v>144</v>
      </c>
      <c r="C61" s="256"/>
      <c r="D61" s="208" t="s">
        <v>114</v>
      </c>
      <c r="F61" s="577" t="s">
        <v>96</v>
      </c>
      <c r="G61" s="621"/>
      <c r="H61" s="621"/>
      <c r="I61" s="578"/>
      <c r="J61" s="12" t="s">
        <v>626</v>
      </c>
      <c r="K61" s="399">
        <f>ROUNDUP(C5/40*8*2,-1)/10*5</f>
        <v>10</v>
      </c>
      <c r="L61" s="398">
        <f>C6/30*2*8/10*5</f>
        <v>20</v>
      </c>
      <c r="M61" s="396">
        <f>1000/10*5</f>
        <v>500</v>
      </c>
      <c r="N61" s="396">
        <f>1500/10*5</f>
        <v>750</v>
      </c>
      <c r="O61" s="398">
        <v>0</v>
      </c>
      <c r="P61" s="398">
        <v>0</v>
      </c>
      <c r="Q61" s="396">
        <v>0</v>
      </c>
      <c r="R61" s="396">
        <v>0</v>
      </c>
      <c r="S61" s="398">
        <v>0</v>
      </c>
      <c r="T61" s="396">
        <f>K61*$C$12+M61+((O61*$C$12+Q61)*S61)</f>
        <v>1500</v>
      </c>
      <c r="U61" s="396">
        <f t="shared" si="6"/>
        <v>2750</v>
      </c>
      <c r="V61" s="399">
        <f t="shared" si="7"/>
        <v>10</v>
      </c>
      <c r="W61" s="399">
        <f t="shared" si="8"/>
        <v>20</v>
      </c>
      <c r="X61" s="611" t="s">
        <v>322</v>
      </c>
      <c r="Y61" s="390" t="s">
        <v>472</v>
      </c>
      <c r="Z61" s="348" t="s">
        <v>535</v>
      </c>
    </row>
    <row r="62" spans="1:26" s="202" customFormat="1" ht="36" customHeight="1">
      <c r="A62" s="198"/>
      <c r="B62" s="198"/>
      <c r="C62" s="256" t="s">
        <v>102</v>
      </c>
      <c r="D62" s="256"/>
      <c r="F62" s="199"/>
      <c r="G62" s="265" t="s">
        <v>15</v>
      </c>
      <c r="H62" s="267"/>
      <c r="I62" s="266"/>
      <c r="J62" s="12" t="s">
        <v>627</v>
      </c>
      <c r="K62" s="211"/>
      <c r="L62" s="211"/>
      <c r="M62" s="241"/>
      <c r="N62" s="241"/>
      <c r="O62" s="211">
        <v>0</v>
      </c>
      <c r="P62" s="211">
        <v>0</v>
      </c>
      <c r="Q62" s="241"/>
      <c r="R62" s="241"/>
      <c r="S62" s="211">
        <v>0</v>
      </c>
      <c r="T62" s="241">
        <f t="shared" si="5"/>
        <v>0</v>
      </c>
      <c r="U62" s="241">
        <f t="shared" si="6"/>
        <v>0</v>
      </c>
      <c r="V62" s="242">
        <f t="shared" si="7"/>
        <v>0</v>
      </c>
      <c r="W62" s="242">
        <f t="shared" si="8"/>
        <v>0</v>
      </c>
      <c r="X62" s="612"/>
      <c r="Y62" s="198"/>
      <c r="Z62" s="332"/>
    </row>
    <row r="63" spans="1:26" s="202" customFormat="1" ht="36" customHeight="1">
      <c r="A63" s="198"/>
      <c r="B63" s="198"/>
      <c r="C63" s="256" t="s">
        <v>72</v>
      </c>
      <c r="D63" s="256"/>
      <c r="F63" s="199"/>
      <c r="G63" s="566" t="s">
        <v>16</v>
      </c>
      <c r="H63" s="640"/>
      <c r="I63" s="567"/>
      <c r="J63" s="12" t="s">
        <v>628</v>
      </c>
      <c r="K63" s="211"/>
      <c r="L63" s="211"/>
      <c r="M63" s="241"/>
      <c r="N63" s="241"/>
      <c r="O63" s="211">
        <v>0</v>
      </c>
      <c r="P63" s="211">
        <v>0</v>
      </c>
      <c r="Q63" s="241"/>
      <c r="R63" s="241"/>
      <c r="S63" s="211">
        <v>0</v>
      </c>
      <c r="T63" s="241">
        <f t="shared" si="5"/>
        <v>0</v>
      </c>
      <c r="U63" s="241">
        <f t="shared" si="6"/>
        <v>0</v>
      </c>
      <c r="V63" s="242">
        <f t="shared" si="7"/>
        <v>0</v>
      </c>
      <c r="W63" s="242">
        <f t="shared" si="8"/>
        <v>0</v>
      </c>
      <c r="X63" s="612"/>
      <c r="Y63" s="198"/>
      <c r="Z63" s="332"/>
    </row>
    <row r="64" spans="1:26" s="202" customFormat="1" ht="36" customHeight="1">
      <c r="A64" s="198"/>
      <c r="B64" s="198"/>
      <c r="C64" s="256" t="s">
        <v>113</v>
      </c>
      <c r="D64" s="256"/>
      <c r="F64" s="199"/>
      <c r="G64" s="566" t="s">
        <v>17</v>
      </c>
      <c r="H64" s="640"/>
      <c r="I64" s="567"/>
      <c r="J64" s="12" t="s">
        <v>629</v>
      </c>
      <c r="K64" s="211"/>
      <c r="L64" s="211"/>
      <c r="M64" s="241"/>
      <c r="N64" s="241"/>
      <c r="O64" s="211">
        <v>0</v>
      </c>
      <c r="P64" s="211">
        <v>0</v>
      </c>
      <c r="Q64" s="241"/>
      <c r="R64" s="241"/>
      <c r="S64" s="211">
        <v>0</v>
      </c>
      <c r="T64" s="241">
        <f t="shared" si="5"/>
        <v>0</v>
      </c>
      <c r="U64" s="241">
        <f t="shared" si="6"/>
        <v>0</v>
      </c>
      <c r="V64" s="242">
        <f t="shared" si="7"/>
        <v>0</v>
      </c>
      <c r="W64" s="242">
        <f t="shared" si="8"/>
        <v>0</v>
      </c>
      <c r="X64" s="613"/>
      <c r="Y64" s="198"/>
      <c r="Z64" s="332"/>
    </row>
    <row r="65" spans="1:26" s="202" customFormat="1" ht="36" customHeight="1">
      <c r="A65" s="198" t="s">
        <v>132</v>
      </c>
      <c r="B65" s="198" t="s">
        <v>144</v>
      </c>
      <c r="C65" s="256" t="s">
        <v>150</v>
      </c>
      <c r="D65" s="256"/>
      <c r="F65" s="199"/>
      <c r="G65" s="577" t="s">
        <v>225</v>
      </c>
      <c r="H65" s="621"/>
      <c r="I65" s="578"/>
      <c r="J65" s="12" t="s">
        <v>630</v>
      </c>
      <c r="K65" s="211">
        <v>0</v>
      </c>
      <c r="L65" s="211">
        <v>0</v>
      </c>
      <c r="M65" s="241">
        <f>C5*C8*C13</f>
        <v>141.91166666666666</v>
      </c>
      <c r="N65" s="241">
        <f>C6*C8*C13</f>
        <v>212.86749999999998</v>
      </c>
      <c r="O65" s="211">
        <v>0</v>
      </c>
      <c r="P65" s="211">
        <v>0</v>
      </c>
      <c r="Q65" s="283">
        <v>0</v>
      </c>
      <c r="R65" s="283">
        <v>0</v>
      </c>
      <c r="S65" s="211">
        <v>0</v>
      </c>
      <c r="T65" s="241">
        <f t="shared" si="5"/>
        <v>141.91166666666666</v>
      </c>
      <c r="U65" s="241">
        <f t="shared" si="6"/>
        <v>212.86749999999998</v>
      </c>
      <c r="V65" s="242">
        <f t="shared" si="7"/>
        <v>0</v>
      </c>
      <c r="W65" s="242">
        <f t="shared" si="8"/>
        <v>0</v>
      </c>
      <c r="X65" s="205" t="s">
        <v>323</v>
      </c>
      <c r="Y65" s="206" t="s">
        <v>472</v>
      </c>
      <c r="Z65" s="332"/>
    </row>
    <row r="66" spans="1:26" s="202" customFormat="1" ht="36" customHeight="1">
      <c r="A66" s="198" t="s">
        <v>133</v>
      </c>
      <c r="B66" s="198" t="s">
        <v>144</v>
      </c>
      <c r="C66" s="207" t="s">
        <v>149</v>
      </c>
      <c r="D66" s="198"/>
      <c r="F66" s="199"/>
      <c r="G66" s="577" t="s">
        <v>97</v>
      </c>
      <c r="H66" s="621"/>
      <c r="I66" s="578"/>
      <c r="J66" s="12" t="s">
        <v>621</v>
      </c>
      <c r="K66" s="211">
        <v>0</v>
      </c>
      <c r="L66" s="211">
        <v>0</v>
      </c>
      <c r="M66" s="211">
        <v>0</v>
      </c>
      <c r="N66" s="244">
        <v>0</v>
      </c>
      <c r="O66" s="244">
        <v>0</v>
      </c>
      <c r="P66" s="244">
        <v>0</v>
      </c>
      <c r="Q66" s="211">
        <v>0</v>
      </c>
      <c r="R66" s="244">
        <v>0</v>
      </c>
      <c r="S66" s="244">
        <v>0</v>
      </c>
      <c r="T66" s="241">
        <f t="shared" si="5"/>
        <v>0</v>
      </c>
      <c r="U66" s="241">
        <f t="shared" si="6"/>
        <v>0</v>
      </c>
      <c r="V66" s="242">
        <f t="shared" si="7"/>
        <v>0</v>
      </c>
      <c r="W66" s="242">
        <f t="shared" si="8"/>
        <v>0</v>
      </c>
      <c r="X66" s="205" t="s">
        <v>311</v>
      </c>
      <c r="Y66" s="206" t="s">
        <v>472</v>
      </c>
      <c r="Z66" s="391"/>
    </row>
    <row r="67" spans="1:26" s="202" customFormat="1" ht="36" customHeight="1">
      <c r="A67" s="198" t="s">
        <v>134</v>
      </c>
      <c r="B67" s="198" t="s">
        <v>2</v>
      </c>
      <c r="C67" s="198"/>
      <c r="D67" s="262" t="s">
        <v>62</v>
      </c>
      <c r="E67" s="202" t="s">
        <v>70</v>
      </c>
      <c r="F67" s="637" t="s">
        <v>108</v>
      </c>
      <c r="G67" s="638"/>
      <c r="H67" s="638"/>
      <c r="I67" s="639"/>
      <c r="J67" s="12"/>
      <c r="K67" s="211">
        <v>0</v>
      </c>
      <c r="L67" s="211">
        <v>0</v>
      </c>
      <c r="M67" s="211">
        <v>0</v>
      </c>
      <c r="N67" s="244">
        <v>0</v>
      </c>
      <c r="O67" s="244">
        <v>0</v>
      </c>
      <c r="P67" s="244">
        <v>0</v>
      </c>
      <c r="Q67" s="211">
        <v>0</v>
      </c>
      <c r="R67" s="244">
        <v>0</v>
      </c>
      <c r="S67" s="244">
        <v>0</v>
      </c>
      <c r="T67" s="241">
        <f t="shared" si="5"/>
        <v>0</v>
      </c>
      <c r="U67" s="241">
        <f t="shared" si="6"/>
        <v>0</v>
      </c>
      <c r="V67" s="242">
        <f t="shared" si="7"/>
        <v>0</v>
      </c>
      <c r="W67" s="242">
        <f t="shared" si="8"/>
        <v>0</v>
      </c>
      <c r="X67" s="205" t="s">
        <v>290</v>
      </c>
      <c r="Y67" s="268" t="s">
        <v>472</v>
      </c>
      <c r="Z67" s="391"/>
    </row>
    <row r="68" spans="1:26" s="202" customFormat="1" ht="36" customHeight="1">
      <c r="A68" s="253">
        <v>4.5</v>
      </c>
      <c r="B68" s="253"/>
      <c r="C68" s="253"/>
      <c r="D68" s="253"/>
      <c r="E68" s="246"/>
      <c r="F68" s="246"/>
      <c r="G68" s="253" t="s">
        <v>101</v>
      </c>
      <c r="H68" s="247"/>
      <c r="I68" s="247"/>
      <c r="J68" s="706" t="s">
        <v>612</v>
      </c>
      <c r="K68" s="248"/>
      <c r="L68" s="248"/>
      <c r="M68" s="249"/>
      <c r="N68" s="249"/>
      <c r="O68" s="248"/>
      <c r="P68" s="248"/>
      <c r="Q68" s="249"/>
      <c r="R68" s="249"/>
      <c r="S68" s="248"/>
      <c r="T68" s="248"/>
      <c r="U68" s="248"/>
      <c r="V68" s="250"/>
      <c r="W68" s="250"/>
      <c r="X68" s="251"/>
      <c r="Y68" s="251"/>
      <c r="Z68" s="391"/>
    </row>
    <row r="69" spans="1:26" s="391" customFormat="1" ht="88.5" customHeight="1">
      <c r="A69" s="332" t="s">
        <v>135</v>
      </c>
      <c r="B69" s="332" t="s">
        <v>41</v>
      </c>
      <c r="C69" s="332" t="s">
        <v>58</v>
      </c>
      <c r="D69" s="199" t="s">
        <v>60</v>
      </c>
      <c r="F69" s="577" t="s">
        <v>103</v>
      </c>
      <c r="G69" s="621"/>
      <c r="H69" s="621"/>
      <c r="I69" s="578"/>
      <c r="J69" s="12" t="s">
        <v>612</v>
      </c>
      <c r="K69" s="398">
        <v>16</v>
      </c>
      <c r="L69" s="398">
        <v>48</v>
      </c>
      <c r="M69" s="388">
        <v>0</v>
      </c>
      <c r="N69" s="388">
        <v>0</v>
      </c>
      <c r="O69" s="398">
        <v>0</v>
      </c>
      <c r="P69" s="398">
        <v>0</v>
      </c>
      <c r="Q69" s="388">
        <v>0</v>
      </c>
      <c r="R69" s="388">
        <v>0</v>
      </c>
      <c r="S69" s="398">
        <v>0</v>
      </c>
      <c r="T69" s="396">
        <f>K69*$C$12+M69+(((O69*$C$12)+Q69)*S69)</f>
        <v>1600</v>
      </c>
      <c r="U69" s="396">
        <f>L69*$C$12+N69+((P69*$C$12+R69)*S69)</f>
        <v>4800</v>
      </c>
      <c r="V69" s="399">
        <f>K69+(O69*S69)</f>
        <v>16</v>
      </c>
      <c r="W69" s="399">
        <f>L69+(P69*S69)</f>
        <v>48</v>
      </c>
      <c r="X69" s="397" t="s">
        <v>547</v>
      </c>
      <c r="Y69" s="391" t="s">
        <v>296</v>
      </c>
      <c r="Z69" s="397" t="s">
        <v>536</v>
      </c>
    </row>
    <row r="70" spans="1:26" s="391" customFormat="1" ht="49.5" customHeight="1">
      <c r="A70" s="332" t="s">
        <v>136</v>
      </c>
      <c r="B70" s="332" t="s">
        <v>2</v>
      </c>
      <c r="C70" s="332"/>
      <c r="D70" s="209" t="s">
        <v>61</v>
      </c>
      <c r="F70" s="634" t="s">
        <v>104</v>
      </c>
      <c r="G70" s="635"/>
      <c r="H70" s="635"/>
      <c r="I70" s="636"/>
      <c r="J70" s="12" t="s">
        <v>620</v>
      </c>
      <c r="K70" s="398">
        <v>0</v>
      </c>
      <c r="L70" s="398">
        <v>0</v>
      </c>
      <c r="M70" s="396">
        <v>0</v>
      </c>
      <c r="N70" s="396">
        <v>0</v>
      </c>
      <c r="O70" s="398">
        <v>0</v>
      </c>
      <c r="P70" s="398">
        <f>8*C11</f>
        <v>8</v>
      </c>
      <c r="Q70" s="396">
        <v>0</v>
      </c>
      <c r="R70" s="396">
        <v>0</v>
      </c>
      <c r="S70" s="398">
        <v>5</v>
      </c>
      <c r="T70" s="269">
        <f>K70*$C$12+M70+((O70*$C$12+Q70)*S70)</f>
        <v>0</v>
      </c>
      <c r="U70" s="269">
        <f>L70*$C$12+N70+((P70*$C$12+R70)*S70)</f>
        <v>4000</v>
      </c>
      <c r="V70" s="270">
        <f>K70+(O70*S70)</f>
        <v>0</v>
      </c>
      <c r="W70" s="270">
        <f>L70+(P70*S70)</f>
        <v>40</v>
      </c>
      <c r="X70" s="397" t="s">
        <v>550</v>
      </c>
      <c r="Y70" s="348" t="s">
        <v>312</v>
      </c>
      <c r="Z70" s="391" t="s">
        <v>533</v>
      </c>
    </row>
    <row r="71" spans="1:31" s="202" customFormat="1" ht="36" customHeight="1">
      <c r="A71" s="198" t="s">
        <v>137</v>
      </c>
      <c r="B71" s="198" t="s">
        <v>144</v>
      </c>
      <c r="C71" s="198"/>
      <c r="D71" s="209" t="s">
        <v>61</v>
      </c>
      <c r="F71" s="618" t="s">
        <v>151</v>
      </c>
      <c r="G71" s="619"/>
      <c r="H71" s="619"/>
      <c r="I71" s="620"/>
      <c r="J71" s="12" t="s">
        <v>4</v>
      </c>
      <c r="K71" s="211">
        <v>0</v>
      </c>
      <c r="L71" s="211">
        <v>0</v>
      </c>
      <c r="M71" s="241">
        <v>0</v>
      </c>
      <c r="N71" s="241">
        <v>0</v>
      </c>
      <c r="O71" s="211">
        <v>0</v>
      </c>
      <c r="P71" s="211">
        <v>0</v>
      </c>
      <c r="Q71" s="241">
        <v>0</v>
      </c>
      <c r="R71" s="241">
        <v>0</v>
      </c>
      <c r="S71" s="211">
        <v>0</v>
      </c>
      <c r="T71" s="269">
        <f>K71*$C$12+M71+((O71*$C$12+Q71)*S71)</f>
        <v>0</v>
      </c>
      <c r="U71" s="269">
        <f>L71*$C$12+N71+((P71*$C$12+R71)*S71)</f>
        <v>0</v>
      </c>
      <c r="V71" s="270">
        <f>K71+(O71*S71)</f>
        <v>0</v>
      </c>
      <c r="W71" s="270">
        <f>L71+(P71*S71)</f>
        <v>0</v>
      </c>
      <c r="X71" s="205" t="s">
        <v>313</v>
      </c>
      <c r="Y71" s="206" t="s">
        <v>472</v>
      </c>
      <c r="Z71" s="332"/>
      <c r="AA71" s="198"/>
      <c r="AB71" s="198"/>
      <c r="AC71" s="198"/>
      <c r="AD71" s="198"/>
      <c r="AE71" s="198"/>
    </row>
    <row r="72" spans="1:26" s="202" customFormat="1" ht="51" customHeight="1">
      <c r="A72" s="198" t="s">
        <v>138</v>
      </c>
      <c r="B72" s="198" t="s">
        <v>144</v>
      </c>
      <c r="C72" s="198"/>
      <c r="D72" s="199" t="s">
        <v>60</v>
      </c>
      <c r="F72" s="577" t="s">
        <v>115</v>
      </c>
      <c r="G72" s="621"/>
      <c r="H72" s="621"/>
      <c r="I72" s="578"/>
      <c r="J72" s="12" t="s">
        <v>19</v>
      </c>
      <c r="K72" s="211">
        <v>0</v>
      </c>
      <c r="L72" s="211">
        <v>0</v>
      </c>
      <c r="M72" s="241">
        <v>0</v>
      </c>
      <c r="N72" s="241">
        <v>0</v>
      </c>
      <c r="O72" s="211">
        <v>0</v>
      </c>
      <c r="P72" s="211">
        <v>0</v>
      </c>
      <c r="Q72" s="241">
        <v>0</v>
      </c>
      <c r="R72" s="241">
        <v>0</v>
      </c>
      <c r="S72" s="211">
        <v>0</v>
      </c>
      <c r="T72" s="241">
        <f>K72*$C$12+M72+((O72*$C$12+Q72)*S72)</f>
        <v>0</v>
      </c>
      <c r="U72" s="241">
        <f>L72*$C$12+N72+((P72*$C$12+R72)*S72)</f>
        <v>0</v>
      </c>
      <c r="V72" s="242">
        <f>K72+(O72*S72)</f>
        <v>0</v>
      </c>
      <c r="W72" s="242">
        <f>L72+(P72*S72)</f>
        <v>0</v>
      </c>
      <c r="X72" s="205" t="s">
        <v>310</v>
      </c>
      <c r="Y72" s="268" t="s">
        <v>472</v>
      </c>
      <c r="Z72" s="332"/>
    </row>
    <row r="73" spans="1:26" s="202" customFormat="1" ht="36" customHeight="1">
      <c r="A73" s="246">
        <v>4.6</v>
      </c>
      <c r="B73" s="246"/>
      <c r="C73" s="246"/>
      <c r="D73" s="246"/>
      <c r="E73" s="246"/>
      <c r="F73" s="246"/>
      <c r="G73" s="246" t="s">
        <v>98</v>
      </c>
      <c r="H73" s="246"/>
      <c r="I73" s="246"/>
      <c r="J73" s="706" t="s">
        <v>631</v>
      </c>
      <c r="K73" s="248"/>
      <c r="L73" s="248"/>
      <c r="M73" s="249"/>
      <c r="N73" s="249"/>
      <c r="O73" s="248"/>
      <c r="P73" s="248"/>
      <c r="Q73" s="249"/>
      <c r="R73" s="249"/>
      <c r="S73" s="248"/>
      <c r="T73" s="248"/>
      <c r="U73" s="248"/>
      <c r="V73" s="250"/>
      <c r="W73" s="250"/>
      <c r="X73" s="251"/>
      <c r="Y73" s="251"/>
      <c r="Z73" s="332"/>
    </row>
    <row r="74" spans="1:26" s="202" customFormat="1" ht="36" customHeight="1">
      <c r="A74" s="198" t="s">
        <v>139</v>
      </c>
      <c r="B74" s="198" t="s">
        <v>2</v>
      </c>
      <c r="C74" s="198"/>
      <c r="D74" s="262" t="s">
        <v>62</v>
      </c>
      <c r="E74" s="202" t="s">
        <v>70</v>
      </c>
      <c r="F74" s="631" t="s">
        <v>107</v>
      </c>
      <c r="G74" s="632"/>
      <c r="H74" s="632"/>
      <c r="I74" s="633"/>
      <c r="J74" s="12" t="s">
        <v>631</v>
      </c>
      <c r="K74" s="211">
        <v>0</v>
      </c>
      <c r="L74" s="211">
        <v>0</v>
      </c>
      <c r="M74" s="241">
        <v>0</v>
      </c>
      <c r="N74" s="241">
        <v>0</v>
      </c>
      <c r="O74" s="211">
        <v>0</v>
      </c>
      <c r="P74" s="211">
        <v>0</v>
      </c>
      <c r="Q74" s="241">
        <v>0</v>
      </c>
      <c r="R74" s="241">
        <v>0</v>
      </c>
      <c r="S74" s="211">
        <v>0</v>
      </c>
      <c r="T74" s="241">
        <f>K74*$C$12+M74+((O74*$C$12+Q74)*S74)</f>
        <v>0</v>
      </c>
      <c r="U74" s="241">
        <f>L74*$C$12+N74+((P74*$C$12+R74)*S74)</f>
        <v>0</v>
      </c>
      <c r="V74" s="242">
        <f>K74+(O74*S74)</f>
        <v>0</v>
      </c>
      <c r="W74" s="242">
        <f>L74+(P74*S74)</f>
        <v>0</v>
      </c>
      <c r="X74" s="205" t="s">
        <v>290</v>
      </c>
      <c r="Y74" s="268" t="s">
        <v>472</v>
      </c>
      <c r="Z74" s="332"/>
    </row>
    <row r="75" spans="1:26" s="391" customFormat="1" ht="56.25" customHeight="1">
      <c r="A75" s="332" t="s">
        <v>140</v>
      </c>
      <c r="B75" s="332" t="s">
        <v>144</v>
      </c>
      <c r="C75" s="348" t="s">
        <v>110</v>
      </c>
      <c r="D75" s="263" t="s">
        <v>61</v>
      </c>
      <c r="F75" s="634" t="s">
        <v>112</v>
      </c>
      <c r="G75" s="635"/>
      <c r="H75" s="635"/>
      <c r="I75" s="636"/>
      <c r="J75" s="12" t="s">
        <v>631</v>
      </c>
      <c r="K75" s="398">
        <v>0</v>
      </c>
      <c r="L75" s="398">
        <v>0</v>
      </c>
      <c r="M75" s="396">
        <v>0</v>
      </c>
      <c r="N75" s="396">
        <v>0</v>
      </c>
      <c r="O75" s="398">
        <v>0</v>
      </c>
      <c r="P75" s="398">
        <f>(2*4+8)*C11</f>
        <v>16</v>
      </c>
      <c r="Q75" s="396">
        <v>0</v>
      </c>
      <c r="R75" s="396">
        <f>C11*C13</f>
        <v>56.76466666666666</v>
      </c>
      <c r="S75" s="398">
        <v>5</v>
      </c>
      <c r="T75" s="269">
        <f>K75*$C$12+M75+((O75*$C$12+Q75)*S75)</f>
        <v>0</v>
      </c>
      <c r="U75" s="269">
        <f>L75*$C$12+N75+((P75*$C$12+R75)*S75)</f>
        <v>8283.823333333334</v>
      </c>
      <c r="V75" s="270">
        <f>K75+(O75*S75)</f>
        <v>0</v>
      </c>
      <c r="W75" s="270">
        <f>L75+(P75*S75)</f>
        <v>80</v>
      </c>
      <c r="X75" s="397" t="s">
        <v>551</v>
      </c>
      <c r="Y75" s="268" t="s">
        <v>472</v>
      </c>
      <c r="Z75" s="391" t="s">
        <v>533</v>
      </c>
    </row>
    <row r="76" spans="1:26" s="202" customFormat="1" ht="36" customHeight="1">
      <c r="A76" s="246">
        <v>4.7</v>
      </c>
      <c r="B76" s="246"/>
      <c r="C76" s="246"/>
      <c r="D76" s="246"/>
      <c r="E76" s="246"/>
      <c r="F76" s="246"/>
      <c r="G76" s="246" t="s">
        <v>99</v>
      </c>
      <c r="H76" s="247"/>
      <c r="I76" s="247"/>
      <c r="J76" s="706" t="s">
        <v>632</v>
      </c>
      <c r="K76" s="248"/>
      <c r="L76" s="248"/>
      <c r="M76" s="249"/>
      <c r="N76" s="249"/>
      <c r="O76" s="248"/>
      <c r="P76" s="248"/>
      <c r="Q76" s="249"/>
      <c r="R76" s="249"/>
      <c r="S76" s="248"/>
      <c r="T76" s="248"/>
      <c r="U76" s="248"/>
      <c r="V76" s="250"/>
      <c r="W76" s="250"/>
      <c r="X76" s="258"/>
      <c r="Y76" s="251"/>
      <c r="Z76" s="332"/>
    </row>
    <row r="77" spans="1:26" s="202" customFormat="1" ht="36" customHeight="1">
      <c r="A77" s="198" t="s">
        <v>153</v>
      </c>
      <c r="B77" s="198" t="s">
        <v>144</v>
      </c>
      <c r="C77" s="207" t="s">
        <v>119</v>
      </c>
      <c r="D77" s="263" t="s">
        <v>61</v>
      </c>
      <c r="F77" s="634" t="s">
        <v>152</v>
      </c>
      <c r="G77" s="635"/>
      <c r="H77" s="635"/>
      <c r="I77" s="636"/>
      <c r="J77" s="12" t="s">
        <v>632</v>
      </c>
      <c r="K77" s="242">
        <v>0</v>
      </c>
      <c r="L77" s="242">
        <v>0</v>
      </c>
      <c r="M77" s="241">
        <v>0</v>
      </c>
      <c r="N77" s="241">
        <v>0</v>
      </c>
      <c r="O77" s="204">
        <v>0</v>
      </c>
      <c r="P77" s="204">
        <v>0</v>
      </c>
      <c r="Q77" s="241">
        <v>0</v>
      </c>
      <c r="R77" s="241">
        <v>0</v>
      </c>
      <c r="S77" s="204">
        <v>0</v>
      </c>
      <c r="T77" s="269">
        <f>K77*$C$12+M77+((O77*$C$12+Q77)*S77)</f>
        <v>0</v>
      </c>
      <c r="U77" s="269">
        <f>L77*$C$12+N77+((P77*$C$12+R77)*S77)</f>
        <v>0</v>
      </c>
      <c r="V77" s="270">
        <f>K77+(O77*S77)</f>
        <v>0</v>
      </c>
      <c r="W77" s="270">
        <f>L77+(P77*S77)</f>
        <v>0</v>
      </c>
      <c r="X77" s="205" t="s">
        <v>324</v>
      </c>
      <c r="Y77" s="206" t="s">
        <v>472</v>
      </c>
      <c r="Z77" s="332"/>
    </row>
    <row r="78" spans="1:26" s="202" customFormat="1" ht="36" customHeight="1">
      <c r="A78" s="246">
        <v>4.8</v>
      </c>
      <c r="B78" s="246"/>
      <c r="C78" s="246"/>
      <c r="D78" s="246"/>
      <c r="E78" s="641" t="s">
        <v>118</v>
      </c>
      <c r="F78" s="642"/>
      <c r="G78" s="642"/>
      <c r="H78" s="642"/>
      <c r="I78" s="643"/>
      <c r="J78" s="706"/>
      <c r="K78" s="248"/>
      <c r="L78" s="248"/>
      <c r="M78" s="249"/>
      <c r="N78" s="249"/>
      <c r="O78" s="248"/>
      <c r="P78" s="248"/>
      <c r="Q78" s="249"/>
      <c r="R78" s="249"/>
      <c r="S78" s="248"/>
      <c r="T78" s="248"/>
      <c r="U78" s="248"/>
      <c r="V78" s="250"/>
      <c r="W78" s="250"/>
      <c r="X78" s="251"/>
      <c r="Y78" s="251"/>
      <c r="Z78" s="332"/>
    </row>
    <row r="79" spans="1:26" s="202" customFormat="1" ht="36" customHeight="1">
      <c r="A79" s="198" t="s">
        <v>141</v>
      </c>
      <c r="B79" s="198" t="s">
        <v>86</v>
      </c>
      <c r="C79" s="198"/>
      <c r="D79" s="262" t="s">
        <v>62</v>
      </c>
      <c r="F79" s="637" t="s">
        <v>116</v>
      </c>
      <c r="G79" s="638"/>
      <c r="H79" s="638"/>
      <c r="I79" s="639"/>
      <c r="J79" s="12" t="s">
        <v>633</v>
      </c>
      <c r="K79" s="211">
        <v>0</v>
      </c>
      <c r="L79" s="211">
        <v>0</v>
      </c>
      <c r="M79" s="259">
        <v>0</v>
      </c>
      <c r="N79" s="259">
        <v>0</v>
      </c>
      <c r="O79" s="211">
        <v>20</v>
      </c>
      <c r="P79" s="211">
        <v>20</v>
      </c>
      <c r="Q79" s="259">
        <v>100</v>
      </c>
      <c r="R79" s="259">
        <v>500</v>
      </c>
      <c r="S79" s="211">
        <v>5</v>
      </c>
      <c r="T79" s="241">
        <f>K79*$C$12+M79+(((O79*$C$12)+Q79)*S79)</f>
        <v>10500</v>
      </c>
      <c r="U79" s="241">
        <f>L79*$C$12+N79+((P79*$C$12+R79)*S79)</f>
        <v>12500</v>
      </c>
      <c r="V79" s="242">
        <f>K79+(O79*S79)</f>
        <v>100</v>
      </c>
      <c r="W79" s="242">
        <f>L79+(P79*S79)</f>
        <v>100</v>
      </c>
      <c r="X79" s="205"/>
      <c r="Y79" s="268" t="s">
        <v>472</v>
      </c>
      <c r="Z79" s="348" t="s">
        <v>537</v>
      </c>
    </row>
    <row r="80" spans="1:26" s="202" customFormat="1" ht="36" customHeight="1">
      <c r="A80" s="198" t="s">
        <v>142</v>
      </c>
      <c r="B80" s="198" t="s">
        <v>2</v>
      </c>
      <c r="C80" s="198"/>
      <c r="D80" s="262" t="s">
        <v>62</v>
      </c>
      <c r="E80" s="202" t="s">
        <v>70</v>
      </c>
      <c r="F80" s="637" t="s">
        <v>117</v>
      </c>
      <c r="G80" s="638"/>
      <c r="H80" s="638"/>
      <c r="I80" s="639"/>
      <c r="J80" s="12" t="s">
        <v>633</v>
      </c>
      <c r="K80" s="211">
        <v>0</v>
      </c>
      <c r="L80" s="211">
        <v>0</v>
      </c>
      <c r="M80" s="211">
        <v>0</v>
      </c>
      <c r="N80" s="244">
        <v>0</v>
      </c>
      <c r="O80" s="211"/>
      <c r="P80" s="211"/>
      <c r="Q80" s="211">
        <v>0</v>
      </c>
      <c r="R80" s="244">
        <v>0</v>
      </c>
      <c r="S80" s="211"/>
      <c r="T80" s="241">
        <f>K80*$C$12+M80+((O80*$C$12+Q80)*S80)</f>
        <v>0</v>
      </c>
      <c r="U80" s="241">
        <f>L80*$C$12+N80+((P80*$C$12+R80)*S80)</f>
        <v>0</v>
      </c>
      <c r="V80" s="242">
        <f>K80+(O80*S80)</f>
        <v>0</v>
      </c>
      <c r="W80" s="242">
        <f>L80+(P80*S80)</f>
        <v>0</v>
      </c>
      <c r="X80" s="205" t="s">
        <v>290</v>
      </c>
      <c r="Y80" s="268" t="s">
        <v>472</v>
      </c>
      <c r="Z80" s="332"/>
    </row>
    <row r="81" spans="1:26" s="391" customFormat="1" ht="55.5" customHeight="1">
      <c r="A81" s="338"/>
      <c r="B81" s="338"/>
      <c r="C81" s="338"/>
      <c r="D81" s="338"/>
      <c r="E81" s="338"/>
      <c r="F81" s="338"/>
      <c r="G81" s="338"/>
      <c r="H81" s="338"/>
      <c r="I81" s="338"/>
      <c r="J81" s="272"/>
      <c r="K81" s="272"/>
      <c r="L81" s="272"/>
      <c r="M81" s="273"/>
      <c r="N81" s="273"/>
      <c r="O81" s="272"/>
      <c r="P81" s="272"/>
      <c r="Q81" s="273"/>
      <c r="R81" s="273"/>
      <c r="S81" s="341" t="s">
        <v>487</v>
      </c>
      <c r="T81" s="342">
        <f>ROUND((SUM(T30:T80)-T77-T75-T71-T70-T53-T42-T32),3-(INT(LOG((SUM(T30:T80)-T77-T75-T71-T70-T53-T42-T32))+1)))</f>
        <v>35500</v>
      </c>
      <c r="U81" s="342">
        <f>ROUND((SUM(U30:U80)-U77-U75-U71-U70-U53-U42-U32-U61),3-(INT(LOG((SUM(U30:U80)-U77-U75-U71-U70-U53-U42-U32-U61))+1)))</f>
        <v>81000</v>
      </c>
      <c r="V81" s="343">
        <f>ROUND(((SUM(V30:V80))-(V32+V42+V53+V70+V71+V75+V77)),3-(INT(LOG(((SUM(V30:V80))-(V32+V42+V53+V70+V71+V75+V77)))+1)))</f>
        <v>337</v>
      </c>
      <c r="W81" s="343">
        <f>ROUND((SUM(W30:W80)-W77-W75-W71-W70-W53-W42-W32-W61),3-(INT(LOG((SUM(W30:W80)-W77-W75-W71-W70-W53-W42-W32-W61))+1)))</f>
        <v>767</v>
      </c>
      <c r="X81" s="279" t="s">
        <v>552</v>
      </c>
      <c r="Y81" s="338"/>
      <c r="Z81" s="348" t="s">
        <v>538</v>
      </c>
    </row>
    <row r="82" spans="1:23" ht="13.5">
      <c r="A82" s="43"/>
      <c r="K82" s="45"/>
      <c r="L82" s="45"/>
      <c r="M82" s="45"/>
      <c r="N82" s="45"/>
      <c r="O82" s="45"/>
      <c r="P82" s="45"/>
      <c r="V82" s="55"/>
      <c r="W82" s="55"/>
    </row>
  </sheetData>
  <sheetProtection/>
  <mergeCells count="97">
    <mergeCell ref="A26:A28"/>
    <mergeCell ref="B26:B28"/>
    <mergeCell ref="C26:C28"/>
    <mergeCell ref="D26:D28"/>
    <mergeCell ref="E26:E28"/>
    <mergeCell ref="F35:I35"/>
    <mergeCell ref="O26:R26"/>
    <mergeCell ref="S26:S28"/>
    <mergeCell ref="T26:W26"/>
    <mergeCell ref="X26:X28"/>
    <mergeCell ref="Y26:Y28"/>
    <mergeCell ref="F34:I34"/>
    <mergeCell ref="F26:I28"/>
    <mergeCell ref="V27:W27"/>
    <mergeCell ref="K26:N26"/>
    <mergeCell ref="K27:L27"/>
    <mergeCell ref="M27:N27"/>
    <mergeCell ref="F33:I33"/>
    <mergeCell ref="J26:J28"/>
    <mergeCell ref="M47:M48"/>
    <mergeCell ref="N47:N48"/>
    <mergeCell ref="F43:I43"/>
    <mergeCell ref="F54:I54"/>
    <mergeCell ref="O27:P27"/>
    <mergeCell ref="Q27:R27"/>
    <mergeCell ref="T27:U27"/>
    <mergeCell ref="F29:I29"/>
    <mergeCell ref="F31:I31"/>
    <mergeCell ref="F30:I30"/>
    <mergeCell ref="U47:U48"/>
    <mergeCell ref="F32:I32"/>
    <mergeCell ref="F53:I53"/>
    <mergeCell ref="X47:X48"/>
    <mergeCell ref="R47:R48"/>
    <mergeCell ref="K47:K48"/>
    <mergeCell ref="Q47:Q48"/>
    <mergeCell ref="O47:O48"/>
    <mergeCell ref="P47:P48"/>
    <mergeCell ref="S47:S48"/>
    <mergeCell ref="T47:T48"/>
    <mergeCell ref="V47:V48"/>
    <mergeCell ref="W47:W48"/>
    <mergeCell ref="F67:I67"/>
    <mergeCell ref="F69:I69"/>
    <mergeCell ref="F70:I70"/>
    <mergeCell ref="Q38:R38"/>
    <mergeCell ref="G41:I41"/>
    <mergeCell ref="L47:L48"/>
    <mergeCell ref="F44:I44"/>
    <mergeCell ref="F40:I40"/>
    <mergeCell ref="F42:I42"/>
    <mergeCell ref="F52:I52"/>
    <mergeCell ref="A2:B2"/>
    <mergeCell ref="A3:B3"/>
    <mergeCell ref="A4:B4"/>
    <mergeCell ref="A7:B7"/>
    <mergeCell ref="A9:B9"/>
    <mergeCell ref="A1:C1"/>
    <mergeCell ref="B17:C17"/>
    <mergeCell ref="D17:E17"/>
    <mergeCell ref="A5:B5"/>
    <mergeCell ref="A6:B6"/>
    <mergeCell ref="A10:B10"/>
    <mergeCell ref="A13:B13"/>
    <mergeCell ref="A14:B14"/>
    <mergeCell ref="A12:B12"/>
    <mergeCell ref="A11:B11"/>
    <mergeCell ref="F80:I80"/>
    <mergeCell ref="E78:I78"/>
    <mergeCell ref="F77:I77"/>
    <mergeCell ref="F79:I79"/>
    <mergeCell ref="F47:I47"/>
    <mergeCell ref="F48:I48"/>
    <mergeCell ref="F49:I49"/>
    <mergeCell ref="F51:I51"/>
    <mergeCell ref="F55:I55"/>
    <mergeCell ref="F56:I56"/>
    <mergeCell ref="F74:I74"/>
    <mergeCell ref="F75:I75"/>
    <mergeCell ref="F58:I58"/>
    <mergeCell ref="F59:I59"/>
    <mergeCell ref="F60:I60"/>
    <mergeCell ref="F61:I61"/>
    <mergeCell ref="G63:I63"/>
    <mergeCell ref="G64:I64"/>
    <mergeCell ref="G65:I65"/>
    <mergeCell ref="G66:I66"/>
    <mergeCell ref="X61:X64"/>
    <mergeCell ref="Y47:Y48"/>
    <mergeCell ref="A8:B8"/>
    <mergeCell ref="F71:I71"/>
    <mergeCell ref="F72:I72"/>
    <mergeCell ref="F36:I36"/>
    <mergeCell ref="F38:I38"/>
    <mergeCell ref="F39:I39"/>
    <mergeCell ref="F37:I37"/>
    <mergeCell ref="F45:I45"/>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X58"/>
  <sheetViews>
    <sheetView zoomScale="75" zoomScaleNormal="75" workbookViewId="0" topLeftCell="A6">
      <selection activeCell="A8" sqref="A8"/>
    </sheetView>
  </sheetViews>
  <sheetFormatPr defaultColWidth="8.8515625" defaultRowHeight="15"/>
  <cols>
    <col min="1" max="1" width="10.421875" style="0" bestFit="1" customWidth="1"/>
    <col min="2" max="2" width="10.421875" style="0" customWidth="1"/>
    <col min="3" max="3" width="10.421875" style="1" customWidth="1"/>
    <col min="4" max="4" width="12.28125" style="0" customWidth="1"/>
    <col min="5" max="5" width="15.28125" style="1" customWidth="1"/>
    <col min="6" max="6" width="5.7109375" style="1" customWidth="1"/>
    <col min="7" max="7" width="94.8515625" style="0" customWidth="1"/>
    <col min="8" max="8" width="23.140625" style="0" customWidth="1"/>
    <col min="9" max="10" width="10.7109375" style="21" customWidth="1"/>
    <col min="11" max="12" width="12.421875" style="24" customWidth="1"/>
    <col min="13" max="16" width="12.8515625" style="24" customWidth="1"/>
    <col min="17" max="17" width="13.28125" style="24" customWidth="1"/>
    <col min="18" max="21" width="11.421875" style="24" customWidth="1"/>
    <col min="22" max="22" width="57.421875" style="7" customWidth="1"/>
    <col min="23" max="23" width="36.8515625" style="0" customWidth="1"/>
    <col min="24" max="24" width="43.28125" style="0" customWidth="1"/>
  </cols>
  <sheetData>
    <row r="1" spans="1:5" s="45" customFormat="1" ht="21.75" customHeight="1">
      <c r="A1" s="483" t="s">
        <v>480</v>
      </c>
      <c r="B1" s="466"/>
      <c r="C1" s="466"/>
      <c r="D1" s="466"/>
      <c r="E1" s="467"/>
    </row>
    <row r="2" spans="1:5" s="45" customFormat="1" ht="21.75" customHeight="1">
      <c r="A2" s="382"/>
      <c r="B2" s="405"/>
      <c r="C2" s="405"/>
      <c r="D2" s="406" t="s">
        <v>301</v>
      </c>
      <c r="E2" s="407" t="s">
        <v>302</v>
      </c>
    </row>
    <row r="3" spans="1:5" s="45" customFormat="1" ht="21.75" customHeight="1">
      <c r="A3" s="488" t="s">
        <v>344</v>
      </c>
      <c r="B3" s="489"/>
      <c r="C3" s="404">
        <f>'MS4 Stats'!B10</f>
        <v>100</v>
      </c>
      <c r="D3" s="408"/>
      <c r="E3" s="409"/>
    </row>
    <row r="4" spans="1:5" s="45" customFormat="1" ht="28.5" customHeight="1">
      <c r="A4" s="677" t="s">
        <v>558</v>
      </c>
      <c r="B4" s="678"/>
      <c r="C4" s="410"/>
      <c r="D4" s="414">
        <v>1</v>
      </c>
      <c r="E4" s="411">
        <v>3</v>
      </c>
    </row>
    <row r="5" spans="3:22" ht="21.75" customHeight="1">
      <c r="C5"/>
      <c r="D5" s="3"/>
      <c r="E5"/>
      <c r="F5"/>
      <c r="I5"/>
      <c r="J5"/>
      <c r="K5"/>
      <c r="L5"/>
      <c r="M5"/>
      <c r="N5"/>
      <c r="O5"/>
      <c r="P5"/>
      <c r="Q5"/>
      <c r="R5"/>
      <c r="S5"/>
      <c r="T5"/>
      <c r="U5"/>
      <c r="V5"/>
    </row>
    <row r="6" spans="1:22" ht="21.75" customHeight="1">
      <c r="A6" s="379"/>
      <c r="B6" s="466" t="s">
        <v>482</v>
      </c>
      <c r="C6" s="466"/>
      <c r="D6" s="466" t="s">
        <v>256</v>
      </c>
      <c r="E6" s="467"/>
      <c r="F6"/>
      <c r="I6"/>
      <c r="J6"/>
      <c r="K6"/>
      <c r="L6"/>
      <c r="M6"/>
      <c r="N6"/>
      <c r="O6"/>
      <c r="P6"/>
      <c r="Q6"/>
      <c r="R6"/>
      <c r="S6"/>
      <c r="T6"/>
      <c r="U6"/>
      <c r="V6"/>
    </row>
    <row r="7" spans="1:22" ht="21.75" customHeight="1">
      <c r="A7" s="382"/>
      <c r="B7" s="99" t="s">
        <v>301</v>
      </c>
      <c r="C7" s="99" t="s">
        <v>302</v>
      </c>
      <c r="D7" s="99" t="s">
        <v>301</v>
      </c>
      <c r="E7" s="100" t="s">
        <v>302</v>
      </c>
      <c r="F7"/>
      <c r="I7"/>
      <c r="J7"/>
      <c r="K7"/>
      <c r="L7"/>
      <c r="M7"/>
      <c r="N7"/>
      <c r="O7"/>
      <c r="P7"/>
      <c r="Q7"/>
      <c r="R7"/>
      <c r="S7"/>
      <c r="T7"/>
      <c r="U7"/>
      <c r="V7"/>
    </row>
    <row r="8" spans="1:22" ht="21.75" customHeight="1">
      <c r="A8" s="314" t="s">
        <v>62</v>
      </c>
      <c r="B8" s="315">
        <f>R29</f>
        <v>0</v>
      </c>
      <c r="C8" s="83">
        <f>S29</f>
        <v>0</v>
      </c>
      <c r="D8" s="228">
        <f>T29</f>
        <v>0</v>
      </c>
      <c r="E8" s="229">
        <f>U29</f>
        <v>0</v>
      </c>
      <c r="F8"/>
      <c r="I8"/>
      <c r="J8"/>
      <c r="K8"/>
      <c r="L8"/>
      <c r="M8"/>
      <c r="N8"/>
      <c r="O8"/>
      <c r="P8"/>
      <c r="Q8"/>
      <c r="R8"/>
      <c r="S8"/>
      <c r="T8"/>
      <c r="U8"/>
      <c r="V8"/>
    </row>
    <row r="9" spans="1:22" ht="21.75" customHeight="1">
      <c r="A9" s="318" t="s">
        <v>483</v>
      </c>
      <c r="B9" s="319">
        <f>ROUND((R23+R24+R25+R26),3-(INT(LOG((R23+R24+R25+R26))+1)))</f>
        <v>4200</v>
      </c>
      <c r="C9" s="319">
        <f>ROUND((S23+S24+S25+S26),3-(INT(LOG((S23+S24+S25+S26))+1)))</f>
        <v>21600</v>
      </c>
      <c r="D9" s="280">
        <f>ROUND((T23+T24+T25+T26),3-(INT(LOG((T23+T24+T25+T26))+1)))</f>
        <v>32</v>
      </c>
      <c r="E9" s="280">
        <f>ROUND((U23+U24+U25+U26),3-(INT(LOG((U23+U24+U25+U26))+1)))</f>
        <v>96</v>
      </c>
      <c r="F9"/>
      <c r="I9"/>
      <c r="J9"/>
      <c r="K9"/>
      <c r="L9"/>
      <c r="M9"/>
      <c r="N9"/>
      <c r="O9"/>
      <c r="P9"/>
      <c r="Q9"/>
      <c r="R9"/>
      <c r="S9"/>
      <c r="T9"/>
      <c r="U9"/>
      <c r="V9"/>
    </row>
    <row r="10" spans="1:22" ht="21.75" customHeight="1">
      <c r="A10" s="90" t="s">
        <v>61</v>
      </c>
      <c r="B10" s="91">
        <f>ROUND((R27+R28),3-(INT(LOG((R27+R28))+1)))</f>
        <v>14000</v>
      </c>
      <c r="C10" s="91">
        <f>ROUND((S27+S28),3-(INT(LOG((S27+S28))+1)))</f>
        <v>72000</v>
      </c>
      <c r="D10" s="274">
        <f>ROUND((T27+T28),3-(INT(LOG((T27+T28))+1)))</f>
        <v>140</v>
      </c>
      <c r="E10" s="274">
        <f>ROUND((U27+U28),3-(INT(LOG((U27+U28))+1)))</f>
        <v>720</v>
      </c>
      <c r="F10"/>
      <c r="I10"/>
      <c r="J10"/>
      <c r="K10"/>
      <c r="L10"/>
      <c r="M10"/>
      <c r="N10"/>
      <c r="O10"/>
      <c r="P10"/>
      <c r="Q10"/>
      <c r="R10"/>
      <c r="S10"/>
      <c r="T10"/>
      <c r="U10"/>
      <c r="V10"/>
    </row>
    <row r="11" spans="1:22" ht="21.75" customHeight="1">
      <c r="A11" s="320" t="s">
        <v>485</v>
      </c>
      <c r="B11" s="321">
        <f>R30</f>
        <v>4200</v>
      </c>
      <c r="C11" s="321">
        <f>S30</f>
        <v>21600</v>
      </c>
      <c r="D11" s="322">
        <f>T30</f>
        <v>32</v>
      </c>
      <c r="E11" s="322">
        <f>U30</f>
        <v>96</v>
      </c>
      <c r="F11"/>
      <c r="I11"/>
      <c r="J11"/>
      <c r="K11"/>
      <c r="L11"/>
      <c r="M11"/>
      <c r="N11"/>
      <c r="O11"/>
      <c r="P11"/>
      <c r="Q11"/>
      <c r="R11"/>
      <c r="S11"/>
      <c r="T11"/>
      <c r="U11"/>
      <c r="V11"/>
    </row>
    <row r="12" spans="1:5" ht="13.5">
      <c r="A12" s="182" t="s">
        <v>486</v>
      </c>
      <c r="B12" s="183"/>
      <c r="C12" s="184"/>
      <c r="D12" s="183"/>
      <c r="E12" s="185"/>
    </row>
    <row r="13" ht="13.5">
      <c r="K13" s="48"/>
    </row>
    <row r="15" spans="9:10" ht="13.5">
      <c r="I15" s="40"/>
      <c r="J15" s="40"/>
    </row>
    <row r="16" spans="8:10" ht="13.5">
      <c r="H16" s="39"/>
      <c r="I16" s="40"/>
      <c r="J16" s="40"/>
    </row>
    <row r="17" spans="8:10" ht="13.5">
      <c r="H17" s="39"/>
      <c r="I17" s="40"/>
      <c r="J17" s="40"/>
    </row>
    <row r="19" spans="1:23" ht="79.5" customHeight="1">
      <c r="A19" s="598" t="s">
        <v>0</v>
      </c>
      <c r="B19" s="598" t="s">
        <v>28</v>
      </c>
      <c r="C19" s="599" t="s">
        <v>31</v>
      </c>
      <c r="D19" s="599" t="s">
        <v>109</v>
      </c>
      <c r="E19" s="599" t="s">
        <v>69</v>
      </c>
      <c r="F19" s="600" t="s">
        <v>20</v>
      </c>
      <c r="G19" s="601"/>
      <c r="H19" s="597" t="s">
        <v>1</v>
      </c>
      <c r="I19" s="581" t="s">
        <v>497</v>
      </c>
      <c r="J19" s="581"/>
      <c r="K19" s="581"/>
      <c r="L19" s="581"/>
      <c r="M19" s="581" t="s">
        <v>498</v>
      </c>
      <c r="N19" s="581"/>
      <c r="O19" s="581"/>
      <c r="P19" s="581"/>
      <c r="Q19" s="581"/>
      <c r="R19" s="681" t="s">
        <v>499</v>
      </c>
      <c r="S19" s="682"/>
      <c r="T19" s="682"/>
      <c r="U19" s="683"/>
      <c r="V19" s="594" t="s">
        <v>259</v>
      </c>
      <c r="W19" s="597" t="s">
        <v>258</v>
      </c>
    </row>
    <row r="20" spans="1:23" ht="55.5" customHeight="1">
      <c r="A20" s="517"/>
      <c r="B20" s="517"/>
      <c r="C20" s="520"/>
      <c r="D20" s="520"/>
      <c r="E20" s="520"/>
      <c r="F20" s="602"/>
      <c r="G20" s="603"/>
      <c r="H20" s="523"/>
      <c r="I20" s="581" t="s">
        <v>256</v>
      </c>
      <c r="J20" s="581"/>
      <c r="K20" s="528" t="s">
        <v>453</v>
      </c>
      <c r="L20" s="528"/>
      <c r="M20" s="580" t="s">
        <v>319</v>
      </c>
      <c r="N20" s="580"/>
      <c r="O20" s="580" t="s">
        <v>453</v>
      </c>
      <c r="P20" s="580"/>
      <c r="Q20" s="381" t="s">
        <v>261</v>
      </c>
      <c r="R20" s="684" t="s">
        <v>325</v>
      </c>
      <c r="S20" s="685"/>
      <c r="T20" s="686" t="s">
        <v>475</v>
      </c>
      <c r="U20" s="687"/>
      <c r="V20" s="595"/>
      <c r="W20" s="523"/>
    </row>
    <row r="21" spans="1:23" ht="39.75" customHeight="1">
      <c r="A21" s="518"/>
      <c r="B21" s="518"/>
      <c r="C21" s="521"/>
      <c r="D21" s="521"/>
      <c r="E21" s="521"/>
      <c r="F21" s="604"/>
      <c r="G21" s="605"/>
      <c r="H21" s="524"/>
      <c r="I21" s="386" t="s">
        <v>301</v>
      </c>
      <c r="J21" s="386" t="s">
        <v>302</v>
      </c>
      <c r="K21" s="380" t="s">
        <v>301</v>
      </c>
      <c r="L21" s="380" t="s">
        <v>302</v>
      </c>
      <c r="M21" s="385" t="s">
        <v>301</v>
      </c>
      <c r="N21" s="385" t="s">
        <v>302</v>
      </c>
      <c r="O21" s="385" t="s">
        <v>301</v>
      </c>
      <c r="P21" s="385" t="s">
        <v>302</v>
      </c>
      <c r="Q21" s="381"/>
      <c r="R21" s="380" t="s">
        <v>301</v>
      </c>
      <c r="S21" s="380" t="s">
        <v>302</v>
      </c>
      <c r="T21" s="380" t="s">
        <v>301</v>
      </c>
      <c r="U21" s="380" t="s">
        <v>302</v>
      </c>
      <c r="V21" s="596"/>
      <c r="W21" s="524"/>
    </row>
    <row r="22" spans="1:24" ht="79.5" customHeight="1">
      <c r="A22" s="384">
        <v>1</v>
      </c>
      <c r="B22" s="384"/>
      <c r="C22" s="384"/>
      <c r="D22" s="384"/>
      <c r="E22" s="384"/>
      <c r="F22" s="628" t="s">
        <v>154</v>
      </c>
      <c r="G22" s="630"/>
      <c r="H22" s="705" t="s">
        <v>634</v>
      </c>
      <c r="I22" s="190"/>
      <c r="J22" s="190"/>
      <c r="K22" s="191"/>
      <c r="L22" s="191"/>
      <c r="M22" s="191"/>
      <c r="N22" s="191"/>
      <c r="O22" s="191"/>
      <c r="P22" s="191"/>
      <c r="Q22" s="191"/>
      <c r="R22" s="191"/>
      <c r="S22" s="191"/>
      <c r="T22" s="191"/>
      <c r="U22" s="191"/>
      <c r="V22" s="192"/>
      <c r="W22" s="193" t="s">
        <v>257</v>
      </c>
      <c r="X22" s="2"/>
    </row>
    <row r="23" spans="1:24" ht="79.5" customHeight="1">
      <c r="A23" s="332">
        <v>1.1</v>
      </c>
      <c r="B23" s="348" t="s">
        <v>159</v>
      </c>
      <c r="C23" s="348" t="s">
        <v>87</v>
      </c>
      <c r="D23" s="199" t="s">
        <v>60</v>
      </c>
      <c r="E23" s="332"/>
      <c r="F23" s="625" t="s">
        <v>155</v>
      </c>
      <c r="G23" s="627"/>
      <c r="H23" s="707" t="s">
        <v>635</v>
      </c>
      <c r="I23" s="389">
        <v>0</v>
      </c>
      <c r="J23" s="389"/>
      <c r="K23" s="388">
        <v>0</v>
      </c>
      <c r="L23" s="388"/>
      <c r="M23" s="389">
        <v>0</v>
      </c>
      <c r="N23" s="389"/>
      <c r="O23" s="388">
        <v>0</v>
      </c>
      <c r="P23" s="388"/>
      <c r="Q23" s="389">
        <v>0</v>
      </c>
      <c r="R23" s="388">
        <f>I23*$C$3+K23+((M23*$C$3+O23)*$Q23)</f>
        <v>0</v>
      </c>
      <c r="S23" s="388">
        <f>J23*$C$3+L23+((N23*$C$3+P23)*$Q23)</f>
        <v>0</v>
      </c>
      <c r="T23" s="389">
        <f aca="true" t="shared" si="0" ref="T23:U29">I23+(M23*5)</f>
        <v>0</v>
      </c>
      <c r="U23" s="389">
        <f t="shared" si="0"/>
        <v>0</v>
      </c>
      <c r="V23" s="392" t="s">
        <v>463</v>
      </c>
      <c r="W23" s="390"/>
      <c r="X23" s="2"/>
    </row>
    <row r="24" spans="1:24" ht="79.5" customHeight="1">
      <c r="A24" s="332">
        <v>1.2</v>
      </c>
      <c r="B24" s="348" t="s">
        <v>160</v>
      </c>
      <c r="C24" s="332" t="s">
        <v>58</v>
      </c>
      <c r="D24" s="199" t="s">
        <v>60</v>
      </c>
      <c r="E24" s="332"/>
      <c r="F24" s="625" t="s">
        <v>156</v>
      </c>
      <c r="G24" s="627"/>
      <c r="H24" s="707" t="s">
        <v>636</v>
      </c>
      <c r="I24" s="389">
        <v>0</v>
      </c>
      <c r="J24" s="389"/>
      <c r="K24" s="388">
        <v>0</v>
      </c>
      <c r="L24" s="388"/>
      <c r="M24" s="388">
        <v>0</v>
      </c>
      <c r="N24" s="388"/>
      <c r="O24" s="388">
        <v>0</v>
      </c>
      <c r="P24" s="388"/>
      <c r="Q24" s="387">
        <v>0</v>
      </c>
      <c r="R24" s="388">
        <f aca="true" t="shared" si="1" ref="R24:R29">I24*$C$3+K24+((M24*$C$3+O24)*Q24)</f>
        <v>0</v>
      </c>
      <c r="S24" s="388">
        <f aca="true" t="shared" si="2" ref="S24:S29">J24*$C$3+L24+((N24*$C$3+P24)*$Q24)</f>
        <v>0</v>
      </c>
      <c r="T24" s="389">
        <f t="shared" si="0"/>
        <v>0</v>
      </c>
      <c r="U24" s="389">
        <f t="shared" si="0"/>
        <v>0</v>
      </c>
      <c r="V24" s="392" t="s">
        <v>266</v>
      </c>
      <c r="W24" s="390"/>
      <c r="X24" s="2"/>
    </row>
    <row r="25" spans="1:24" ht="79.5" customHeight="1">
      <c r="A25" s="332">
        <v>1.3</v>
      </c>
      <c r="B25" s="348" t="s">
        <v>159</v>
      </c>
      <c r="C25" s="332" t="s">
        <v>58</v>
      </c>
      <c r="D25" s="199" t="s">
        <v>60</v>
      </c>
      <c r="E25" s="332"/>
      <c r="F25" s="625" t="s">
        <v>157</v>
      </c>
      <c r="G25" s="627"/>
      <c r="H25" s="707" t="s">
        <v>637</v>
      </c>
      <c r="I25" s="389">
        <v>32</v>
      </c>
      <c r="J25" s="389">
        <v>40</v>
      </c>
      <c r="K25" s="388">
        <v>1000</v>
      </c>
      <c r="L25" s="388">
        <v>2000</v>
      </c>
      <c r="M25" s="389">
        <v>0</v>
      </c>
      <c r="N25" s="389"/>
      <c r="O25" s="388">
        <v>0</v>
      </c>
      <c r="P25" s="388"/>
      <c r="Q25" s="387">
        <v>0</v>
      </c>
      <c r="R25" s="388">
        <f t="shared" si="1"/>
        <v>4200</v>
      </c>
      <c r="S25" s="388">
        <f t="shared" si="2"/>
        <v>6000</v>
      </c>
      <c r="T25" s="389">
        <f t="shared" si="0"/>
        <v>32</v>
      </c>
      <c r="U25" s="389">
        <f t="shared" si="0"/>
        <v>40</v>
      </c>
      <c r="V25" s="392" t="s">
        <v>355</v>
      </c>
      <c r="W25" s="397" t="s">
        <v>559</v>
      </c>
      <c r="X25" s="2"/>
    </row>
    <row r="26" spans="1:24" ht="79.5" customHeight="1">
      <c r="A26" s="332">
        <v>1.4</v>
      </c>
      <c r="B26" s="332" t="s">
        <v>2</v>
      </c>
      <c r="C26" s="332" t="s">
        <v>58</v>
      </c>
      <c r="D26" s="199" t="s">
        <v>60</v>
      </c>
      <c r="E26" s="332"/>
      <c r="F26" s="625" t="s">
        <v>228</v>
      </c>
      <c r="G26" s="627"/>
      <c r="H26" s="707" t="s">
        <v>638</v>
      </c>
      <c r="I26" s="389">
        <v>0</v>
      </c>
      <c r="J26" s="389">
        <v>56</v>
      </c>
      <c r="K26" s="275">
        <v>0</v>
      </c>
      <c r="L26" s="275">
        <v>0</v>
      </c>
      <c r="M26" s="389">
        <v>0</v>
      </c>
      <c r="N26" s="389"/>
      <c r="O26" s="388">
        <v>0</v>
      </c>
      <c r="P26" s="388">
        <v>2000</v>
      </c>
      <c r="Q26" s="387">
        <v>5</v>
      </c>
      <c r="R26" s="388">
        <f t="shared" si="1"/>
        <v>0</v>
      </c>
      <c r="S26" s="388">
        <f t="shared" si="2"/>
        <v>15600</v>
      </c>
      <c r="T26" s="389">
        <f t="shared" si="0"/>
        <v>0</v>
      </c>
      <c r="U26" s="389">
        <f t="shared" si="0"/>
        <v>56</v>
      </c>
      <c r="V26" s="392" t="s">
        <v>560</v>
      </c>
      <c r="W26" s="397" t="s">
        <v>561</v>
      </c>
      <c r="X26" s="2"/>
    </row>
    <row r="27" spans="1:24" ht="90.75" customHeight="1">
      <c r="A27" s="332" t="s">
        <v>291</v>
      </c>
      <c r="B27" s="332" t="s">
        <v>144</v>
      </c>
      <c r="C27" s="332" t="s">
        <v>58</v>
      </c>
      <c r="D27" s="209" t="s">
        <v>61</v>
      </c>
      <c r="E27" s="332"/>
      <c r="F27" s="679" t="s">
        <v>294</v>
      </c>
      <c r="G27" s="680"/>
      <c r="H27" s="707" t="s">
        <v>638</v>
      </c>
      <c r="I27" s="389">
        <v>0</v>
      </c>
      <c r="J27" s="389"/>
      <c r="K27" s="275">
        <v>0</v>
      </c>
      <c r="L27" s="275"/>
      <c r="M27" s="276">
        <f>24*D4</f>
        <v>24</v>
      </c>
      <c r="N27" s="276">
        <f>40*E4</f>
        <v>120</v>
      </c>
      <c r="O27" s="388">
        <v>0</v>
      </c>
      <c r="P27" s="388"/>
      <c r="Q27" s="389">
        <v>5</v>
      </c>
      <c r="R27" s="214">
        <f t="shared" si="1"/>
        <v>12000</v>
      </c>
      <c r="S27" s="214">
        <f t="shared" si="2"/>
        <v>60000</v>
      </c>
      <c r="T27" s="277">
        <f t="shared" si="0"/>
        <v>120</v>
      </c>
      <c r="U27" s="277">
        <f t="shared" si="0"/>
        <v>600</v>
      </c>
      <c r="V27" s="412" t="s">
        <v>452</v>
      </c>
      <c r="W27" s="397" t="s">
        <v>562</v>
      </c>
      <c r="X27" s="413" t="s">
        <v>563</v>
      </c>
    </row>
    <row r="28" spans="1:24" ht="57" customHeight="1">
      <c r="A28" s="332" t="s">
        <v>292</v>
      </c>
      <c r="B28" s="332" t="s">
        <v>144</v>
      </c>
      <c r="C28" s="332" t="s">
        <v>58</v>
      </c>
      <c r="D28" s="209" t="s">
        <v>61</v>
      </c>
      <c r="E28" s="332"/>
      <c r="F28" s="679" t="s">
        <v>293</v>
      </c>
      <c r="G28" s="680"/>
      <c r="H28" s="707" t="s">
        <v>638</v>
      </c>
      <c r="I28" s="389">
        <v>0</v>
      </c>
      <c r="J28" s="389"/>
      <c r="K28" s="388">
        <v>0</v>
      </c>
      <c r="L28" s="388"/>
      <c r="M28" s="276">
        <f>4*D4*1</f>
        <v>4</v>
      </c>
      <c r="N28" s="276">
        <f>8*E4*1</f>
        <v>24</v>
      </c>
      <c r="O28" s="388">
        <v>0</v>
      </c>
      <c r="P28" s="388"/>
      <c r="Q28" s="389">
        <v>5</v>
      </c>
      <c r="R28" s="214">
        <f>I28*$C$3+K28+((M28*$C$3+O28)*Q28)</f>
        <v>2000</v>
      </c>
      <c r="S28" s="214">
        <f t="shared" si="2"/>
        <v>12000</v>
      </c>
      <c r="T28" s="277">
        <f t="shared" si="0"/>
        <v>20</v>
      </c>
      <c r="U28" s="277">
        <f t="shared" si="0"/>
        <v>120</v>
      </c>
      <c r="V28" s="412" t="s">
        <v>564</v>
      </c>
      <c r="W28" s="348" t="s">
        <v>565</v>
      </c>
      <c r="X28" s="413" t="s">
        <v>353</v>
      </c>
    </row>
    <row r="29" spans="1:24" ht="51.75" customHeight="1">
      <c r="A29" s="332">
        <v>1.5</v>
      </c>
      <c r="B29" s="332" t="s">
        <v>2</v>
      </c>
      <c r="C29" s="391"/>
      <c r="D29" s="376" t="s">
        <v>62</v>
      </c>
      <c r="E29" s="391" t="s">
        <v>70</v>
      </c>
      <c r="F29" s="662" t="s">
        <v>158</v>
      </c>
      <c r="G29" s="664"/>
      <c r="H29" s="707" t="s">
        <v>638</v>
      </c>
      <c r="I29" s="389">
        <v>0</v>
      </c>
      <c r="J29" s="389"/>
      <c r="K29" s="388">
        <v>0</v>
      </c>
      <c r="L29" s="388"/>
      <c r="M29" s="389">
        <v>0</v>
      </c>
      <c r="N29" s="389"/>
      <c r="O29" s="388">
        <v>0</v>
      </c>
      <c r="P29" s="388"/>
      <c r="Q29" s="389">
        <v>0</v>
      </c>
      <c r="R29" s="388">
        <f t="shared" si="1"/>
        <v>0</v>
      </c>
      <c r="S29" s="388">
        <f t="shared" si="2"/>
        <v>0</v>
      </c>
      <c r="T29" s="389">
        <f t="shared" si="0"/>
        <v>0</v>
      </c>
      <c r="U29" s="389">
        <f t="shared" si="0"/>
        <v>0</v>
      </c>
      <c r="V29" s="392" t="s">
        <v>290</v>
      </c>
      <c r="W29" s="332" t="s">
        <v>257</v>
      </c>
      <c r="X29" s="2"/>
    </row>
    <row r="30" spans="1:23" ht="79.5" customHeight="1">
      <c r="A30" s="338"/>
      <c r="B30" s="338"/>
      <c r="C30" s="338"/>
      <c r="D30" s="279"/>
      <c r="E30" s="338"/>
      <c r="F30" s="338"/>
      <c r="G30" s="272"/>
      <c r="H30" s="272"/>
      <c r="I30" s="340"/>
      <c r="J30" s="340"/>
      <c r="K30" s="219"/>
      <c r="L30" s="219"/>
      <c r="M30" s="219"/>
      <c r="N30" s="219"/>
      <c r="O30" s="219"/>
      <c r="P30" s="219"/>
      <c r="Q30" s="341" t="s">
        <v>495</v>
      </c>
      <c r="R30" s="342">
        <f>ROUND((SUM(R23:R29)-(R28+R27)),3-(INT(LOG((SUM(R23:R29)-(R28+R27)))+1)))</f>
        <v>4200</v>
      </c>
      <c r="S30" s="342">
        <f>ROUND((SUM(S23:S29)-(S28+S27)),3-(INT(LOG((SUM(S23:S29)-(S28+S27)))+1)))</f>
        <v>21600</v>
      </c>
      <c r="T30" s="340">
        <f>ROUND((T23+T24+T25+T26+T29),3-(INT(LOG((T23+T24+T25+T26+T29))+1)))</f>
        <v>32</v>
      </c>
      <c r="U30" s="340">
        <f>ROUND((U23+U24+U25+U26+U29),3-(INT(LOG((U23+U24+U25+U26+U29))+1)))</f>
        <v>96</v>
      </c>
      <c r="V30" s="331"/>
      <c r="W30" s="338"/>
    </row>
    <row r="31" spans="1:4" ht="79.5" customHeight="1">
      <c r="A31" s="2"/>
      <c r="B31" s="2"/>
      <c r="D31" s="10"/>
    </row>
    <row r="32" ht="13.5">
      <c r="D32" s="3"/>
    </row>
    <row r="33" ht="13.5">
      <c r="D33" s="3"/>
    </row>
    <row r="34" ht="13.5">
      <c r="D34" s="3"/>
    </row>
    <row r="35" spans="3:22" ht="13.5">
      <c r="C35"/>
      <c r="D35" s="3"/>
      <c r="E35"/>
      <c r="F35"/>
      <c r="I35"/>
      <c r="J35"/>
      <c r="K35"/>
      <c r="L35"/>
      <c r="M35"/>
      <c r="N35"/>
      <c r="O35"/>
      <c r="P35"/>
      <c r="Q35"/>
      <c r="R35"/>
      <c r="S35"/>
      <c r="T35"/>
      <c r="U35"/>
      <c r="V35"/>
    </row>
    <row r="36" spans="3:22" ht="13.5">
      <c r="C36"/>
      <c r="D36" s="3"/>
      <c r="E36"/>
      <c r="F36"/>
      <c r="I36"/>
      <c r="J36"/>
      <c r="K36"/>
      <c r="L36"/>
      <c r="M36"/>
      <c r="N36"/>
      <c r="O36"/>
      <c r="P36"/>
      <c r="Q36"/>
      <c r="R36"/>
      <c r="S36"/>
      <c r="T36"/>
      <c r="U36"/>
      <c r="V36"/>
    </row>
    <row r="37" spans="3:22" ht="13.5">
      <c r="C37"/>
      <c r="D37" s="3"/>
      <c r="E37"/>
      <c r="F37"/>
      <c r="I37"/>
      <c r="J37"/>
      <c r="K37"/>
      <c r="L37"/>
      <c r="M37"/>
      <c r="N37"/>
      <c r="O37"/>
      <c r="P37"/>
      <c r="Q37"/>
      <c r="R37"/>
      <c r="S37"/>
      <c r="T37"/>
      <c r="U37"/>
      <c r="V37"/>
    </row>
    <row r="38" spans="3:22" ht="13.5">
      <c r="C38"/>
      <c r="D38" s="8"/>
      <c r="E38"/>
      <c r="F38"/>
      <c r="I38"/>
      <c r="J38"/>
      <c r="K38"/>
      <c r="L38"/>
      <c r="M38"/>
      <c r="N38"/>
      <c r="O38"/>
      <c r="P38"/>
      <c r="Q38"/>
      <c r="R38"/>
      <c r="S38"/>
      <c r="T38"/>
      <c r="U38"/>
      <c r="V38"/>
    </row>
    <row r="39" spans="3:22" ht="13.5">
      <c r="C39"/>
      <c r="D39" s="3"/>
      <c r="E39"/>
      <c r="F39"/>
      <c r="I39"/>
      <c r="J39"/>
      <c r="K39"/>
      <c r="L39"/>
      <c r="M39"/>
      <c r="N39"/>
      <c r="O39"/>
      <c r="P39"/>
      <c r="Q39"/>
      <c r="R39"/>
      <c r="S39"/>
      <c r="T39"/>
      <c r="U39"/>
      <c r="V39"/>
    </row>
    <row r="40" spans="3:22" ht="13.5">
      <c r="C40"/>
      <c r="D40" s="11"/>
      <c r="E40"/>
      <c r="F40"/>
      <c r="I40"/>
      <c r="J40"/>
      <c r="K40"/>
      <c r="L40"/>
      <c r="M40"/>
      <c r="N40"/>
      <c r="O40"/>
      <c r="P40"/>
      <c r="Q40"/>
      <c r="R40"/>
      <c r="S40"/>
      <c r="T40"/>
      <c r="U40"/>
      <c r="V40"/>
    </row>
    <row r="41" spans="3:22" ht="13.5">
      <c r="C41"/>
      <c r="D41" s="11"/>
      <c r="E41"/>
      <c r="F41"/>
      <c r="I41"/>
      <c r="J41"/>
      <c r="K41"/>
      <c r="L41"/>
      <c r="M41"/>
      <c r="N41"/>
      <c r="O41"/>
      <c r="P41"/>
      <c r="Q41"/>
      <c r="R41"/>
      <c r="S41"/>
      <c r="T41"/>
      <c r="U41"/>
      <c r="V41"/>
    </row>
    <row r="42" spans="3:22" ht="13.5">
      <c r="C42"/>
      <c r="D42" s="11"/>
      <c r="E42"/>
      <c r="F42"/>
      <c r="I42"/>
      <c r="J42"/>
      <c r="K42"/>
      <c r="L42"/>
      <c r="M42"/>
      <c r="N42"/>
      <c r="O42"/>
      <c r="P42"/>
      <c r="Q42"/>
      <c r="R42"/>
      <c r="S42"/>
      <c r="T42"/>
      <c r="U42"/>
      <c r="V42"/>
    </row>
    <row r="43" spans="3:22" ht="13.5">
      <c r="C43"/>
      <c r="D43" s="11"/>
      <c r="E43"/>
      <c r="F43"/>
      <c r="I43"/>
      <c r="J43"/>
      <c r="K43"/>
      <c r="L43"/>
      <c r="M43"/>
      <c r="N43"/>
      <c r="O43"/>
      <c r="P43"/>
      <c r="Q43"/>
      <c r="R43"/>
      <c r="S43"/>
      <c r="T43"/>
      <c r="U43"/>
      <c r="V43"/>
    </row>
    <row r="44" spans="3:22" ht="13.5">
      <c r="C44"/>
      <c r="D44" s="11"/>
      <c r="E44"/>
      <c r="F44"/>
      <c r="I44"/>
      <c r="J44"/>
      <c r="K44"/>
      <c r="L44"/>
      <c r="M44"/>
      <c r="N44"/>
      <c r="O44"/>
      <c r="P44"/>
      <c r="Q44"/>
      <c r="R44"/>
      <c r="S44"/>
      <c r="T44"/>
      <c r="U44"/>
      <c r="V44"/>
    </row>
    <row r="45" spans="3:22" ht="13.5">
      <c r="C45"/>
      <c r="D45" s="3"/>
      <c r="E45"/>
      <c r="F45"/>
      <c r="I45"/>
      <c r="J45"/>
      <c r="K45"/>
      <c r="L45"/>
      <c r="M45"/>
      <c r="N45"/>
      <c r="O45"/>
      <c r="P45"/>
      <c r="Q45"/>
      <c r="R45"/>
      <c r="S45"/>
      <c r="T45"/>
      <c r="U45"/>
      <c r="V45"/>
    </row>
    <row r="46" spans="3:22" ht="13.5">
      <c r="C46"/>
      <c r="D46" s="3"/>
      <c r="E46"/>
      <c r="F46"/>
      <c r="I46"/>
      <c r="J46"/>
      <c r="K46"/>
      <c r="L46"/>
      <c r="M46"/>
      <c r="N46"/>
      <c r="O46"/>
      <c r="P46"/>
      <c r="Q46"/>
      <c r="R46"/>
      <c r="S46"/>
      <c r="T46"/>
      <c r="U46"/>
      <c r="V46"/>
    </row>
    <row r="47" spans="3:22" ht="13.5">
      <c r="C47"/>
      <c r="D47" s="3"/>
      <c r="E47"/>
      <c r="F47"/>
      <c r="I47"/>
      <c r="J47"/>
      <c r="K47"/>
      <c r="L47"/>
      <c r="M47"/>
      <c r="N47"/>
      <c r="O47"/>
      <c r="P47"/>
      <c r="Q47"/>
      <c r="R47"/>
      <c r="S47"/>
      <c r="T47"/>
      <c r="U47"/>
      <c r="V47"/>
    </row>
    <row r="48" spans="3:22" ht="13.5">
      <c r="C48"/>
      <c r="D48" s="3"/>
      <c r="E48"/>
      <c r="F48"/>
      <c r="I48"/>
      <c r="J48"/>
      <c r="K48"/>
      <c r="L48"/>
      <c r="M48"/>
      <c r="N48"/>
      <c r="O48"/>
      <c r="P48"/>
      <c r="Q48"/>
      <c r="R48"/>
      <c r="S48"/>
      <c r="T48"/>
      <c r="U48"/>
      <c r="V48"/>
    </row>
    <row r="49" spans="3:22" ht="13.5">
      <c r="C49"/>
      <c r="D49" s="8"/>
      <c r="E49"/>
      <c r="F49"/>
      <c r="I49"/>
      <c r="J49"/>
      <c r="K49"/>
      <c r="L49"/>
      <c r="M49"/>
      <c r="N49"/>
      <c r="O49"/>
      <c r="P49"/>
      <c r="Q49"/>
      <c r="R49"/>
      <c r="S49"/>
      <c r="T49"/>
      <c r="U49"/>
      <c r="V49"/>
    </row>
    <row r="50" spans="3:22" ht="13.5">
      <c r="C50"/>
      <c r="D50" s="8"/>
      <c r="E50"/>
      <c r="F50"/>
      <c r="I50"/>
      <c r="J50"/>
      <c r="K50"/>
      <c r="L50"/>
      <c r="M50"/>
      <c r="N50"/>
      <c r="O50"/>
      <c r="P50"/>
      <c r="Q50"/>
      <c r="R50"/>
      <c r="S50"/>
      <c r="T50"/>
      <c r="U50"/>
      <c r="V50"/>
    </row>
    <row r="51" spans="3:22" ht="13.5">
      <c r="C51"/>
      <c r="D51" s="3"/>
      <c r="E51"/>
      <c r="F51"/>
      <c r="I51"/>
      <c r="J51"/>
      <c r="K51"/>
      <c r="L51"/>
      <c r="M51"/>
      <c r="N51"/>
      <c r="O51"/>
      <c r="P51"/>
      <c r="Q51"/>
      <c r="R51"/>
      <c r="S51"/>
      <c r="T51"/>
      <c r="U51"/>
      <c r="V51"/>
    </row>
    <row r="52" spans="3:22" ht="13.5">
      <c r="C52"/>
      <c r="D52" s="3"/>
      <c r="E52"/>
      <c r="F52"/>
      <c r="I52"/>
      <c r="J52"/>
      <c r="K52"/>
      <c r="L52"/>
      <c r="M52"/>
      <c r="N52"/>
      <c r="O52"/>
      <c r="P52"/>
      <c r="Q52"/>
      <c r="R52"/>
      <c r="S52"/>
      <c r="T52"/>
      <c r="U52"/>
      <c r="V52"/>
    </row>
    <row r="53" spans="3:22" ht="13.5">
      <c r="C53"/>
      <c r="D53" s="3"/>
      <c r="E53"/>
      <c r="F53"/>
      <c r="I53"/>
      <c r="J53"/>
      <c r="K53"/>
      <c r="L53"/>
      <c r="M53"/>
      <c r="N53"/>
      <c r="O53"/>
      <c r="P53"/>
      <c r="Q53"/>
      <c r="R53"/>
      <c r="S53"/>
      <c r="T53"/>
      <c r="U53"/>
      <c r="V53"/>
    </row>
    <row r="54" spans="3:22" ht="13.5">
      <c r="C54"/>
      <c r="D54" s="3"/>
      <c r="E54"/>
      <c r="F54"/>
      <c r="I54"/>
      <c r="J54"/>
      <c r="K54"/>
      <c r="L54"/>
      <c r="M54"/>
      <c r="N54"/>
      <c r="O54"/>
      <c r="P54"/>
      <c r="Q54"/>
      <c r="R54"/>
      <c r="S54"/>
      <c r="T54"/>
      <c r="U54"/>
      <c r="V54"/>
    </row>
    <row r="55" spans="3:22" ht="13.5">
      <c r="C55"/>
      <c r="D55" s="3"/>
      <c r="E55"/>
      <c r="F55"/>
      <c r="I55"/>
      <c r="J55"/>
      <c r="K55"/>
      <c r="L55"/>
      <c r="M55"/>
      <c r="N55"/>
      <c r="O55"/>
      <c r="P55"/>
      <c r="Q55"/>
      <c r="R55"/>
      <c r="S55"/>
      <c r="T55"/>
      <c r="U55"/>
      <c r="V55"/>
    </row>
    <row r="56" spans="3:22" ht="13.5">
      <c r="C56"/>
      <c r="D56" s="3"/>
      <c r="E56"/>
      <c r="F56"/>
      <c r="I56"/>
      <c r="J56"/>
      <c r="K56"/>
      <c r="L56"/>
      <c r="M56"/>
      <c r="N56"/>
      <c r="O56"/>
      <c r="P56"/>
      <c r="Q56"/>
      <c r="R56"/>
      <c r="S56"/>
      <c r="T56"/>
      <c r="U56"/>
      <c r="V56"/>
    </row>
    <row r="57" spans="3:22" ht="13.5">
      <c r="C57"/>
      <c r="D57" s="3"/>
      <c r="E57"/>
      <c r="F57"/>
      <c r="I57"/>
      <c r="J57"/>
      <c r="K57"/>
      <c r="L57"/>
      <c r="M57"/>
      <c r="N57"/>
      <c r="O57"/>
      <c r="P57"/>
      <c r="Q57"/>
      <c r="R57"/>
      <c r="S57"/>
      <c r="T57"/>
      <c r="U57"/>
      <c r="V57"/>
    </row>
    <row r="58" spans="3:22" ht="13.5">
      <c r="C58"/>
      <c r="D58" s="2"/>
      <c r="E58"/>
      <c r="F58"/>
      <c r="I58"/>
      <c r="J58"/>
      <c r="K58"/>
      <c r="L58"/>
      <c r="M58"/>
      <c r="N58"/>
      <c r="O58"/>
      <c r="P58"/>
      <c r="Q58"/>
      <c r="R58"/>
      <c r="S58"/>
      <c r="T58"/>
      <c r="U58"/>
      <c r="V58"/>
    </row>
  </sheetData>
  <sheetProtection/>
  <mergeCells count="31">
    <mergeCell ref="R19:U19"/>
    <mergeCell ref="V19:V21"/>
    <mergeCell ref="W19:W21"/>
    <mergeCell ref="R20:S20"/>
    <mergeCell ref="T20:U20"/>
    <mergeCell ref="I19:L19"/>
    <mergeCell ref="M19:Q19"/>
    <mergeCell ref="O20:P20"/>
    <mergeCell ref="A19:A21"/>
    <mergeCell ref="B19:B21"/>
    <mergeCell ref="C19:C21"/>
    <mergeCell ref="D19:D21"/>
    <mergeCell ref="E19:E21"/>
    <mergeCell ref="K20:L20"/>
    <mergeCell ref="F19:G21"/>
    <mergeCell ref="F27:G27"/>
    <mergeCell ref="H19:H21"/>
    <mergeCell ref="F28:G28"/>
    <mergeCell ref="M20:N20"/>
    <mergeCell ref="B6:C6"/>
    <mergeCell ref="D6:E6"/>
    <mergeCell ref="A1:E1"/>
    <mergeCell ref="A3:B3"/>
    <mergeCell ref="A4:B4"/>
    <mergeCell ref="I20:J20"/>
    <mergeCell ref="F29:G29"/>
    <mergeCell ref="F22:G22"/>
    <mergeCell ref="F23:G23"/>
    <mergeCell ref="F24:G24"/>
    <mergeCell ref="F25:G25"/>
    <mergeCell ref="F26:G26"/>
  </mergeCells>
  <printOptions/>
  <pageMargins left="0.7" right="0.7" top="0.75" bottom="0.75" header="0.3" footer="0.3"/>
  <pageSetup orientation="landscape" scale="45"/>
  <colBreaks count="1" manualBreakCount="1">
    <brk id="23" min="10" max="11" man="1"/>
  </colBreaks>
</worksheet>
</file>

<file path=xl/worksheets/sheet9.xml><?xml version="1.0" encoding="utf-8"?>
<worksheet xmlns="http://schemas.openxmlformats.org/spreadsheetml/2006/main" xmlns:r="http://schemas.openxmlformats.org/officeDocument/2006/relationships">
  <sheetPr>
    <pageSetUpPr fitToPage="1"/>
  </sheetPr>
  <dimension ref="A1:X33"/>
  <sheetViews>
    <sheetView zoomScale="75" zoomScaleNormal="75" workbookViewId="0" topLeftCell="A1">
      <pane xSplit="5" ySplit="15" topLeftCell="F26" activePane="bottomRight" state="frozen"/>
      <selection pane="topLeft" activeCell="G23" sqref="G23"/>
      <selection pane="topRight" activeCell="G23" sqref="G23"/>
      <selection pane="bottomLeft" activeCell="G23" sqref="G23"/>
      <selection pane="bottomRight" activeCell="G13" sqref="G13"/>
    </sheetView>
  </sheetViews>
  <sheetFormatPr defaultColWidth="8.8515625" defaultRowHeight="15"/>
  <cols>
    <col min="1" max="1" width="15.7109375" style="0" customWidth="1"/>
    <col min="2" max="2" width="10.00390625" style="0" bestFit="1" customWidth="1"/>
    <col min="3" max="3" width="10.421875" style="1" customWidth="1"/>
    <col min="4" max="4" width="12.28125" style="0" customWidth="1"/>
    <col min="5" max="5" width="8.28125" style="1" customWidth="1"/>
    <col min="6" max="6" width="5.7109375" style="1" customWidth="1"/>
    <col min="7" max="7" width="94.7109375" style="0" customWidth="1"/>
    <col min="8" max="8" width="23.140625" style="0" customWidth="1"/>
    <col min="9" max="10" width="10.7109375" style="21" customWidth="1"/>
    <col min="11" max="12" width="11.28125" style="24" customWidth="1"/>
    <col min="13" max="17" width="10.7109375" style="24" customWidth="1"/>
    <col min="18" max="21" width="13.421875" style="24" customWidth="1"/>
    <col min="22" max="22" width="57.421875" style="7" customWidth="1"/>
    <col min="23" max="23" width="36.8515625" style="0" customWidth="1"/>
    <col min="24" max="24" width="38.140625" style="0" customWidth="1"/>
  </cols>
  <sheetData>
    <row r="1" spans="1:3" s="45" customFormat="1" ht="21.75" customHeight="1">
      <c r="A1" s="710" t="s">
        <v>480</v>
      </c>
      <c r="B1" s="711"/>
      <c r="C1" s="712"/>
    </row>
    <row r="2" spans="1:3" s="45" customFormat="1" ht="21.75" customHeight="1">
      <c r="A2" s="713" t="s">
        <v>344</v>
      </c>
      <c r="B2" s="714"/>
      <c r="C2" s="715">
        <f>'[1]MS4 Stats'!B10</f>
        <v>100</v>
      </c>
    </row>
    <row r="3" spans="1:3" s="45" customFormat="1" ht="49.5" customHeight="1">
      <c r="A3" s="716" t="s">
        <v>496</v>
      </c>
      <c r="B3" s="717"/>
      <c r="C3" s="718">
        <f>'[1]MS4 Stats'!B26</f>
        <v>5</v>
      </c>
    </row>
    <row r="4" spans="3:22" ht="21.75" customHeight="1">
      <c r="C4"/>
      <c r="D4" s="3"/>
      <c r="E4"/>
      <c r="F4"/>
      <c r="I4"/>
      <c r="J4"/>
      <c r="K4"/>
      <c r="L4"/>
      <c r="M4"/>
      <c r="N4"/>
      <c r="O4"/>
      <c r="P4"/>
      <c r="Q4"/>
      <c r="R4"/>
      <c r="S4"/>
      <c r="T4"/>
      <c r="U4"/>
      <c r="V4"/>
    </row>
    <row r="5" spans="1:22" ht="21.75" customHeight="1">
      <c r="A5" s="719"/>
      <c r="B5" s="711" t="s">
        <v>482</v>
      </c>
      <c r="C5" s="711"/>
      <c r="D5" s="711" t="s">
        <v>256</v>
      </c>
      <c r="E5" s="712"/>
      <c r="F5"/>
      <c r="I5"/>
      <c r="J5"/>
      <c r="K5"/>
      <c r="L5"/>
      <c r="M5"/>
      <c r="N5"/>
      <c r="O5"/>
      <c r="P5"/>
      <c r="Q5"/>
      <c r="R5"/>
      <c r="S5"/>
      <c r="T5"/>
      <c r="U5"/>
      <c r="V5"/>
    </row>
    <row r="6" spans="1:22" ht="21.75" customHeight="1">
      <c r="A6" s="720"/>
      <c r="B6" s="417" t="s">
        <v>301</v>
      </c>
      <c r="C6" s="417" t="s">
        <v>302</v>
      </c>
      <c r="D6" s="417" t="s">
        <v>301</v>
      </c>
      <c r="E6" s="418" t="s">
        <v>302</v>
      </c>
      <c r="F6"/>
      <c r="I6"/>
      <c r="J6"/>
      <c r="K6"/>
      <c r="L6"/>
      <c r="M6"/>
      <c r="N6"/>
      <c r="O6"/>
      <c r="P6"/>
      <c r="Q6"/>
      <c r="R6"/>
      <c r="S6"/>
      <c r="T6"/>
      <c r="U6"/>
      <c r="V6"/>
    </row>
    <row r="7" spans="1:22" ht="21.75" customHeight="1">
      <c r="A7" s="721" t="s">
        <v>62</v>
      </c>
      <c r="B7" s="722">
        <f>R20+R23+R26+R29</f>
        <v>0</v>
      </c>
      <c r="C7" s="722">
        <f>S20+S23+S26+S29</f>
        <v>0</v>
      </c>
      <c r="D7" s="723">
        <f>T20+T23+T26+T29</f>
        <v>0</v>
      </c>
      <c r="E7" s="723">
        <f>U20+U23+U26+U29</f>
        <v>0</v>
      </c>
      <c r="F7"/>
      <c r="I7"/>
      <c r="J7"/>
      <c r="K7"/>
      <c r="L7"/>
      <c r="M7"/>
      <c r="N7"/>
      <c r="O7"/>
      <c r="P7"/>
      <c r="Q7"/>
      <c r="R7"/>
      <c r="S7"/>
      <c r="T7"/>
      <c r="U7"/>
      <c r="V7"/>
    </row>
    <row r="8" spans="1:22" ht="21.75" customHeight="1">
      <c r="A8" s="724" t="s">
        <v>483</v>
      </c>
      <c r="B8" s="725">
        <f>ROUND((R18+R19+R22+R25+R28),3-(INT(LOG((R18+R19+R22+R25+R28))+1)))</f>
        <v>17200</v>
      </c>
      <c r="C8" s="725">
        <f>ROUND((S18+S19+S22+S25+S28),3-(INT(LOG((S18+S19+S22+S25+S28))+1)))</f>
        <v>34400</v>
      </c>
      <c r="D8" s="726">
        <f>ROUND((T18+T19+T22+T25+T28),3-(INT(LOG((T18+T19+T22+T25+T28))+1)))</f>
        <v>142</v>
      </c>
      <c r="E8" s="726">
        <f>ROUND((U18+U19+U22+U25+U28),3-(INT(LOG((U18+U19+U22+U25+U28))+1)))</f>
        <v>284</v>
      </c>
      <c r="F8"/>
      <c r="I8"/>
      <c r="J8"/>
      <c r="K8"/>
      <c r="L8"/>
      <c r="M8"/>
      <c r="N8"/>
      <c r="O8"/>
      <c r="P8"/>
      <c r="Q8"/>
      <c r="R8"/>
      <c r="S8"/>
      <c r="T8"/>
      <c r="U8"/>
      <c r="V8"/>
    </row>
    <row r="9" spans="1:22" ht="21.75" customHeight="1">
      <c r="A9" s="90" t="s">
        <v>61</v>
      </c>
      <c r="B9" s="91">
        <v>0</v>
      </c>
      <c r="C9" s="91">
        <v>0</v>
      </c>
      <c r="D9" s="274">
        <v>0</v>
      </c>
      <c r="E9" s="274">
        <v>0</v>
      </c>
      <c r="F9"/>
      <c r="I9"/>
      <c r="J9"/>
      <c r="K9"/>
      <c r="L9"/>
      <c r="M9"/>
      <c r="N9"/>
      <c r="O9"/>
      <c r="P9"/>
      <c r="Q9"/>
      <c r="R9"/>
      <c r="S9"/>
      <c r="T9"/>
      <c r="U9"/>
      <c r="V9"/>
    </row>
    <row r="10" spans="1:22" ht="21.75" customHeight="1">
      <c r="A10" s="727" t="s">
        <v>481</v>
      </c>
      <c r="B10" s="728">
        <f>R30</f>
        <v>17200</v>
      </c>
      <c r="C10" s="728">
        <f>S30</f>
        <v>34400</v>
      </c>
      <c r="D10" s="729">
        <f>T30</f>
        <v>142</v>
      </c>
      <c r="E10" s="729">
        <f>U30</f>
        <v>284</v>
      </c>
      <c r="F10"/>
      <c r="I10"/>
      <c r="J10"/>
      <c r="K10"/>
      <c r="L10"/>
      <c r="M10"/>
      <c r="N10"/>
      <c r="O10"/>
      <c r="P10"/>
      <c r="Q10"/>
      <c r="R10"/>
      <c r="S10"/>
      <c r="T10"/>
      <c r="U10"/>
      <c r="V10"/>
    </row>
    <row r="14" spans="1:23" ht="13.5" customHeight="1">
      <c r="A14" s="598" t="s">
        <v>0</v>
      </c>
      <c r="B14" s="598" t="s">
        <v>28</v>
      </c>
      <c r="C14" s="599" t="s">
        <v>31</v>
      </c>
      <c r="D14" s="599" t="s">
        <v>109</v>
      </c>
      <c r="E14" s="599" t="s">
        <v>69</v>
      </c>
      <c r="F14" s="600" t="s">
        <v>21</v>
      </c>
      <c r="G14" s="601"/>
      <c r="H14" s="597" t="s">
        <v>1</v>
      </c>
      <c r="I14" s="581" t="s">
        <v>497</v>
      </c>
      <c r="J14" s="581"/>
      <c r="K14" s="581"/>
      <c r="L14" s="581"/>
      <c r="M14" s="591" t="s">
        <v>498</v>
      </c>
      <c r="N14" s="592"/>
      <c r="O14" s="592"/>
      <c r="P14" s="592"/>
      <c r="Q14" s="688" t="s">
        <v>261</v>
      </c>
      <c r="R14" s="591" t="s">
        <v>499</v>
      </c>
      <c r="S14" s="592"/>
      <c r="T14" s="592"/>
      <c r="U14" s="593"/>
      <c r="V14" s="311"/>
      <c r="W14" s="312"/>
    </row>
    <row r="15" spans="1:23" ht="94.5" customHeight="1">
      <c r="A15" s="517"/>
      <c r="B15" s="517"/>
      <c r="C15" s="520"/>
      <c r="D15" s="520"/>
      <c r="E15" s="520"/>
      <c r="F15" s="602"/>
      <c r="G15" s="603"/>
      <c r="H15" s="523"/>
      <c r="I15" s="581" t="s">
        <v>256</v>
      </c>
      <c r="J15" s="581"/>
      <c r="K15" s="528" t="s">
        <v>453</v>
      </c>
      <c r="L15" s="528"/>
      <c r="M15" s="580" t="s">
        <v>319</v>
      </c>
      <c r="N15" s="580"/>
      <c r="O15" s="580" t="s">
        <v>453</v>
      </c>
      <c r="P15" s="580"/>
      <c r="Q15" s="667"/>
      <c r="R15" s="684" t="s">
        <v>325</v>
      </c>
      <c r="S15" s="685"/>
      <c r="T15" s="686" t="s">
        <v>475</v>
      </c>
      <c r="U15" s="687"/>
      <c r="V15" s="433" t="s">
        <v>259</v>
      </c>
      <c r="W15" s="434" t="s">
        <v>258</v>
      </c>
    </row>
    <row r="16" spans="1:23" ht="20.25" customHeight="1">
      <c r="A16" s="518"/>
      <c r="B16" s="518"/>
      <c r="C16" s="521"/>
      <c r="D16" s="521"/>
      <c r="E16" s="521"/>
      <c r="F16" s="604"/>
      <c r="G16" s="605"/>
      <c r="H16" s="524"/>
      <c r="I16" s="441" t="s">
        <v>301</v>
      </c>
      <c r="J16" s="441" t="s">
        <v>302</v>
      </c>
      <c r="K16" s="435" t="s">
        <v>301</v>
      </c>
      <c r="L16" s="435" t="s">
        <v>302</v>
      </c>
      <c r="M16" s="440" t="s">
        <v>301</v>
      </c>
      <c r="N16" s="440" t="s">
        <v>302</v>
      </c>
      <c r="O16" s="440" t="s">
        <v>301</v>
      </c>
      <c r="P16" s="440" t="s">
        <v>302</v>
      </c>
      <c r="Q16" s="668"/>
      <c r="R16" s="440" t="s">
        <v>301</v>
      </c>
      <c r="S16" s="440" t="s">
        <v>302</v>
      </c>
      <c r="T16" s="440" t="s">
        <v>301</v>
      </c>
      <c r="U16" s="440" t="s">
        <v>302</v>
      </c>
      <c r="V16" s="433"/>
      <c r="W16" s="434"/>
    </row>
    <row r="17" spans="1:23" ht="54" customHeight="1">
      <c r="A17" s="730">
        <v>1</v>
      </c>
      <c r="B17" s="731"/>
      <c r="C17" s="732"/>
      <c r="D17" s="732"/>
      <c r="E17" s="732"/>
      <c r="F17" s="733" t="s">
        <v>162</v>
      </c>
      <c r="G17" s="734"/>
      <c r="H17" s="735"/>
      <c r="I17" s="709"/>
      <c r="J17" s="709"/>
      <c r="K17" s="736"/>
      <c r="L17" s="736"/>
      <c r="M17" s="736"/>
      <c r="N17" s="736"/>
      <c r="O17" s="736"/>
      <c r="P17" s="736"/>
      <c r="Q17" s="736"/>
      <c r="R17" s="736"/>
      <c r="S17" s="736"/>
      <c r="T17" s="736"/>
      <c r="U17" s="736"/>
      <c r="V17" s="737"/>
      <c r="W17" s="708"/>
    </row>
    <row r="18" spans="1:24" ht="96.75" customHeight="1">
      <c r="A18" s="332">
        <v>1.1</v>
      </c>
      <c r="B18" s="348" t="s">
        <v>159</v>
      </c>
      <c r="C18" s="332" t="s">
        <v>76</v>
      </c>
      <c r="D18" s="738" t="s">
        <v>60</v>
      </c>
      <c r="E18" s="332"/>
      <c r="F18" s="739" t="s">
        <v>354</v>
      </c>
      <c r="G18" s="740"/>
      <c r="H18" s="437" t="s">
        <v>22</v>
      </c>
      <c r="I18" s="439">
        <v>32</v>
      </c>
      <c r="J18" s="439">
        <v>40</v>
      </c>
      <c r="K18" s="438">
        <v>1000</v>
      </c>
      <c r="L18" s="438">
        <v>2000</v>
      </c>
      <c r="M18" s="439">
        <v>0</v>
      </c>
      <c r="N18" s="439"/>
      <c r="O18" s="439">
        <v>0</v>
      </c>
      <c r="P18" s="439"/>
      <c r="Q18" s="439">
        <v>0</v>
      </c>
      <c r="R18" s="438">
        <f>I18*$C$2+K18+((M18*$C$2+O18)*$Q18)</f>
        <v>4200</v>
      </c>
      <c r="S18" s="438">
        <f>J18*$C$2+L18+((N18*$C$2+P18)*$Q18)</f>
        <v>6000</v>
      </c>
      <c r="T18" s="439">
        <f aca="true" t="shared" si="0" ref="T18:U20">I18+(M18*5)</f>
        <v>32</v>
      </c>
      <c r="U18" s="439">
        <f t="shared" si="0"/>
        <v>40</v>
      </c>
      <c r="V18" s="442" t="s">
        <v>356</v>
      </c>
      <c r="W18" s="442" t="s">
        <v>260</v>
      </c>
      <c r="X18" s="2"/>
    </row>
    <row r="19" spans="1:24" ht="96.75" customHeight="1">
      <c r="A19" s="332">
        <v>1.2</v>
      </c>
      <c r="B19" s="332" t="s">
        <v>2</v>
      </c>
      <c r="C19" s="332" t="s">
        <v>76</v>
      </c>
      <c r="D19" s="738" t="s">
        <v>60</v>
      </c>
      <c r="E19" s="332"/>
      <c r="F19" s="739" t="s">
        <v>230</v>
      </c>
      <c r="G19" s="740"/>
      <c r="H19" s="332" t="s">
        <v>23</v>
      </c>
      <c r="I19" s="439">
        <v>8</v>
      </c>
      <c r="J19" s="439">
        <v>40</v>
      </c>
      <c r="K19" s="259">
        <v>1000</v>
      </c>
      <c r="L19" s="438">
        <v>2000</v>
      </c>
      <c r="M19" s="439">
        <v>0</v>
      </c>
      <c r="N19" s="439"/>
      <c r="O19" s="259">
        <v>0</v>
      </c>
      <c r="P19" s="259"/>
      <c r="Q19" s="439">
        <v>0</v>
      </c>
      <c r="R19" s="438">
        <f>I19*$C$2+K19+((M19*$C$2+O19)*Q19)</f>
        <v>1800</v>
      </c>
      <c r="S19" s="438">
        <f>J19*$C$2+L19+((N19*$C$2+P19)*$Q19)</f>
        <v>6000</v>
      </c>
      <c r="T19" s="439">
        <f t="shared" si="0"/>
        <v>8</v>
      </c>
      <c r="U19" s="439">
        <f t="shared" si="0"/>
        <v>40</v>
      </c>
      <c r="V19" s="278" t="s">
        <v>566</v>
      </c>
      <c r="W19" s="436" t="s">
        <v>472</v>
      </c>
      <c r="X19" s="2"/>
    </row>
    <row r="20" spans="1:24" ht="96.75" customHeight="1">
      <c r="A20" s="332">
        <v>1.3</v>
      </c>
      <c r="B20" s="332" t="s">
        <v>2</v>
      </c>
      <c r="C20" s="437"/>
      <c r="D20" s="741" t="s">
        <v>62</v>
      </c>
      <c r="E20" s="437" t="s">
        <v>70</v>
      </c>
      <c r="F20" s="742" t="s">
        <v>161</v>
      </c>
      <c r="G20" s="743"/>
      <c r="H20" s="332" t="s">
        <v>23</v>
      </c>
      <c r="I20" s="439">
        <v>0</v>
      </c>
      <c r="J20" s="439"/>
      <c r="K20" s="438">
        <v>0</v>
      </c>
      <c r="L20" s="438"/>
      <c r="M20" s="439">
        <v>0</v>
      </c>
      <c r="N20" s="439"/>
      <c r="O20" s="439">
        <v>0</v>
      </c>
      <c r="P20" s="439"/>
      <c r="Q20" s="439">
        <v>0</v>
      </c>
      <c r="R20" s="438">
        <f>I20*$C$2+K20+((M20*$C$2+O20)*Q20)</f>
        <v>0</v>
      </c>
      <c r="S20" s="438">
        <f>J20*$C$2+L20+((N20*$C$2+P20)*$Q20)</f>
        <v>0</v>
      </c>
      <c r="T20" s="439">
        <f t="shared" si="0"/>
        <v>0</v>
      </c>
      <c r="U20" s="439">
        <f t="shared" si="0"/>
        <v>0</v>
      </c>
      <c r="V20" s="442" t="s">
        <v>290</v>
      </c>
      <c r="W20" s="442" t="s">
        <v>257</v>
      </c>
      <c r="X20" s="2"/>
    </row>
    <row r="21" spans="1:24" ht="52.5" customHeight="1">
      <c r="A21" s="730">
        <v>2</v>
      </c>
      <c r="B21" s="744"/>
      <c r="C21" s="744"/>
      <c r="D21" s="745"/>
      <c r="E21" s="708"/>
      <c r="F21" s="746" t="s">
        <v>163</v>
      </c>
      <c r="G21" s="708"/>
      <c r="H21" s="708"/>
      <c r="I21" s="709"/>
      <c r="J21" s="709"/>
      <c r="K21" s="736"/>
      <c r="L21" s="736"/>
      <c r="M21" s="736"/>
      <c r="N21" s="736"/>
      <c r="O21" s="736"/>
      <c r="P21" s="736"/>
      <c r="Q21" s="736"/>
      <c r="R21" s="736"/>
      <c r="S21" s="736"/>
      <c r="T21" s="736"/>
      <c r="U21" s="736"/>
      <c r="V21" s="737"/>
      <c r="W21" s="708"/>
      <c r="X21" s="2"/>
    </row>
    <row r="22" spans="1:24" ht="96.75" customHeight="1">
      <c r="A22" s="332">
        <v>2.1</v>
      </c>
      <c r="B22" s="442" t="s">
        <v>159</v>
      </c>
      <c r="C22" s="437" t="s">
        <v>102</v>
      </c>
      <c r="D22" s="747" t="s">
        <v>60</v>
      </c>
      <c r="E22" s="437"/>
      <c r="F22" s="739" t="s">
        <v>164</v>
      </c>
      <c r="G22" s="740"/>
      <c r="H22" s="437" t="s">
        <v>24</v>
      </c>
      <c r="I22" s="439">
        <v>62</v>
      </c>
      <c r="J22" s="439">
        <v>116</v>
      </c>
      <c r="K22" s="438">
        <v>1000</v>
      </c>
      <c r="L22" s="438">
        <v>2000</v>
      </c>
      <c r="M22" s="439">
        <v>0</v>
      </c>
      <c r="N22" s="439"/>
      <c r="O22" s="439">
        <v>0</v>
      </c>
      <c r="P22" s="439"/>
      <c r="Q22" s="439">
        <v>0</v>
      </c>
      <c r="R22" s="438">
        <f>I22*$C$2+K22+((M22*$C$2+O22)*Q22)</f>
        <v>7200</v>
      </c>
      <c r="S22" s="438">
        <f>J22*$C$2+L22+((N22*$C$2+P22)*$Q22)</f>
        <v>13600</v>
      </c>
      <c r="T22" s="439">
        <f>I22+(M22*5)</f>
        <v>62</v>
      </c>
      <c r="U22" s="439">
        <f>J22+(N22*5)</f>
        <v>116</v>
      </c>
      <c r="V22" s="442" t="s">
        <v>357</v>
      </c>
      <c r="W22" s="442" t="s">
        <v>269</v>
      </c>
      <c r="X22" s="2"/>
    </row>
    <row r="23" spans="1:24" ht="96.75" customHeight="1">
      <c r="A23" s="332">
        <v>2.2</v>
      </c>
      <c r="B23" s="437" t="s">
        <v>2</v>
      </c>
      <c r="C23" s="437"/>
      <c r="D23" s="741" t="s">
        <v>62</v>
      </c>
      <c r="E23" s="437" t="s">
        <v>70</v>
      </c>
      <c r="F23" s="742" t="s">
        <v>165</v>
      </c>
      <c r="G23" s="743"/>
      <c r="H23" s="437" t="s">
        <v>24</v>
      </c>
      <c r="I23" s="439">
        <v>0</v>
      </c>
      <c r="J23" s="439"/>
      <c r="K23" s="438">
        <v>0</v>
      </c>
      <c r="L23" s="438"/>
      <c r="M23" s="439">
        <v>0</v>
      </c>
      <c r="N23" s="439"/>
      <c r="O23" s="439">
        <v>0</v>
      </c>
      <c r="P23" s="439"/>
      <c r="Q23" s="439">
        <v>0</v>
      </c>
      <c r="R23" s="438">
        <f>I23*$C$2+K23+((M23*$C$2+O23)*Q23)</f>
        <v>0</v>
      </c>
      <c r="S23" s="438">
        <f>J23*$C$2+L23+((N23*$C$2+P23)*$Q23)</f>
        <v>0</v>
      </c>
      <c r="T23" s="439">
        <f>I23+(M23*5)</f>
        <v>0</v>
      </c>
      <c r="U23" s="439">
        <f>J23+(N23*5)</f>
        <v>0</v>
      </c>
      <c r="V23" s="442" t="s">
        <v>290</v>
      </c>
      <c r="W23" s="437" t="s">
        <v>257</v>
      </c>
      <c r="X23" s="2"/>
    </row>
    <row r="24" spans="1:24" ht="48.75" customHeight="1">
      <c r="A24" s="730">
        <v>3</v>
      </c>
      <c r="B24" s="744"/>
      <c r="C24" s="744"/>
      <c r="D24" s="745"/>
      <c r="E24" s="708"/>
      <c r="F24" s="746" t="s">
        <v>289</v>
      </c>
      <c r="G24" s="708"/>
      <c r="H24" s="708"/>
      <c r="I24" s="709"/>
      <c r="J24" s="709"/>
      <c r="K24" s="736"/>
      <c r="L24" s="736"/>
      <c r="M24" s="736"/>
      <c r="N24" s="736"/>
      <c r="O24" s="736"/>
      <c r="P24" s="736"/>
      <c r="Q24" s="736"/>
      <c r="R24" s="736"/>
      <c r="S24" s="736"/>
      <c r="T24" s="736"/>
      <c r="U24" s="736"/>
      <c r="V24" s="737"/>
      <c r="W24" s="708"/>
      <c r="X24" s="2"/>
    </row>
    <row r="25" spans="1:24" ht="96.75" customHeight="1">
      <c r="A25" s="332">
        <v>3.1</v>
      </c>
      <c r="B25" s="442" t="s">
        <v>159</v>
      </c>
      <c r="C25" s="437" t="s">
        <v>166</v>
      </c>
      <c r="D25" s="738" t="s">
        <v>60</v>
      </c>
      <c r="E25" s="437"/>
      <c r="F25" s="739" t="s">
        <v>229</v>
      </c>
      <c r="G25" s="740"/>
      <c r="H25" s="437" t="s">
        <v>639</v>
      </c>
      <c r="I25" s="439">
        <v>0</v>
      </c>
      <c r="J25" s="439"/>
      <c r="K25" s="438">
        <v>0</v>
      </c>
      <c r="L25" s="438"/>
      <c r="M25" s="439">
        <v>0</v>
      </c>
      <c r="N25" s="439"/>
      <c r="O25" s="439">
        <v>0</v>
      </c>
      <c r="P25" s="439"/>
      <c r="Q25" s="439">
        <v>0</v>
      </c>
      <c r="R25" s="438">
        <f>I25*$C$2+K25+((M25*$C$2+O25)*Q25)</f>
        <v>0</v>
      </c>
      <c r="S25" s="438">
        <f>J25*$C$2+L25+((N25*$C$2+P25)*$Q25)</f>
        <v>0</v>
      </c>
      <c r="T25" s="439">
        <f>I25+(M25*5)</f>
        <v>0</v>
      </c>
      <c r="U25" s="439">
        <f>J25+(N25*5)</f>
        <v>0</v>
      </c>
      <c r="V25" s="442" t="s">
        <v>345</v>
      </c>
      <c r="W25" s="442" t="s">
        <v>270</v>
      </c>
      <c r="X25" s="2"/>
    </row>
    <row r="26" spans="1:23" ht="96.75" customHeight="1">
      <c r="A26" s="332">
        <v>3.2</v>
      </c>
      <c r="B26" s="332" t="s">
        <v>2</v>
      </c>
      <c r="C26" s="437"/>
      <c r="D26" s="748" t="s">
        <v>62</v>
      </c>
      <c r="E26" s="437" t="s">
        <v>70</v>
      </c>
      <c r="F26" s="742" t="s">
        <v>165</v>
      </c>
      <c r="G26" s="743"/>
      <c r="H26" s="437" t="s">
        <v>639</v>
      </c>
      <c r="I26" s="439">
        <v>0</v>
      </c>
      <c r="J26" s="439"/>
      <c r="K26" s="438">
        <v>0</v>
      </c>
      <c r="L26" s="438"/>
      <c r="M26" s="439">
        <v>0</v>
      </c>
      <c r="N26" s="439"/>
      <c r="O26" s="439">
        <v>0</v>
      </c>
      <c r="P26" s="439"/>
      <c r="Q26" s="439">
        <v>0</v>
      </c>
      <c r="R26" s="438">
        <f>I26*$C$2+K26+((M26*$C$2+O26)*Q26)</f>
        <v>0</v>
      </c>
      <c r="S26" s="438">
        <f>J26*$C$2+L26+((N26*$C$2+P26)*$Q26)</f>
        <v>0</v>
      </c>
      <c r="T26" s="439">
        <f>I26+(M26*5)</f>
        <v>0</v>
      </c>
      <c r="U26" s="439">
        <f>J26+(N26*5)</f>
        <v>0</v>
      </c>
      <c r="V26" s="442" t="s">
        <v>290</v>
      </c>
      <c r="W26" s="437" t="s">
        <v>257</v>
      </c>
    </row>
    <row r="27" spans="1:23" ht="36.75" customHeight="1">
      <c r="A27" s="730">
        <v>4</v>
      </c>
      <c r="B27" s="744"/>
      <c r="C27" s="744"/>
      <c r="D27" s="744"/>
      <c r="E27" s="708"/>
      <c r="F27" s="746" t="s">
        <v>288</v>
      </c>
      <c r="G27" s="708"/>
      <c r="H27" s="709"/>
      <c r="I27" s="709"/>
      <c r="J27" s="709"/>
      <c r="K27" s="736"/>
      <c r="L27" s="736"/>
      <c r="M27" s="736"/>
      <c r="N27" s="736"/>
      <c r="O27" s="736"/>
      <c r="P27" s="736"/>
      <c r="Q27" s="736"/>
      <c r="R27" s="736"/>
      <c r="S27" s="736"/>
      <c r="T27" s="736"/>
      <c r="U27" s="736"/>
      <c r="V27" s="737"/>
      <c r="W27" s="708"/>
    </row>
    <row r="28" spans="1:24" ht="96.75" customHeight="1">
      <c r="A28" s="332">
        <v>4.1</v>
      </c>
      <c r="B28" s="332" t="s">
        <v>144</v>
      </c>
      <c r="C28" s="437" t="s">
        <v>166</v>
      </c>
      <c r="D28" s="738" t="s">
        <v>60</v>
      </c>
      <c r="E28" s="437"/>
      <c r="F28" s="739" t="s">
        <v>167</v>
      </c>
      <c r="G28" s="740"/>
      <c r="H28" s="437" t="s">
        <v>640</v>
      </c>
      <c r="I28" s="439">
        <f>8*C3</f>
        <v>40</v>
      </c>
      <c r="J28" s="439">
        <f>8*C3+3*16</f>
        <v>88</v>
      </c>
      <c r="K28" s="438">
        <v>0</v>
      </c>
      <c r="L28" s="438"/>
      <c r="M28" s="439">
        <v>0</v>
      </c>
      <c r="N28" s="439"/>
      <c r="O28" s="439">
        <v>0</v>
      </c>
      <c r="P28" s="439"/>
      <c r="Q28" s="439">
        <v>0</v>
      </c>
      <c r="R28" s="438">
        <f>I28*$C$2+K28+((M28*$C$2+O28)*Q28)</f>
        <v>4000</v>
      </c>
      <c r="S28" s="438">
        <f>J28*$C$2+L28+((N28*$C$2+P28)*$Q28)</f>
        <v>8800</v>
      </c>
      <c r="T28" s="439">
        <f>I28+(M28*5)</f>
        <v>40</v>
      </c>
      <c r="U28" s="439">
        <f>J28+(N28*5)</f>
        <v>88</v>
      </c>
      <c r="V28" s="442" t="s">
        <v>567</v>
      </c>
      <c r="W28" s="442" t="s">
        <v>271</v>
      </c>
      <c r="X28" t="s">
        <v>568</v>
      </c>
    </row>
    <row r="29" spans="1:23" ht="36.75" customHeight="1">
      <c r="A29" s="332">
        <v>4.2</v>
      </c>
      <c r="B29" s="332" t="s">
        <v>2</v>
      </c>
      <c r="C29" s="442" t="s">
        <v>170</v>
      </c>
      <c r="D29" s="748" t="s">
        <v>62</v>
      </c>
      <c r="E29" s="437" t="s">
        <v>70</v>
      </c>
      <c r="F29" s="742" t="s">
        <v>168</v>
      </c>
      <c r="G29" s="743"/>
      <c r="H29" s="437" t="s">
        <v>169</v>
      </c>
      <c r="I29" s="439">
        <v>0</v>
      </c>
      <c r="J29" s="439"/>
      <c r="K29" s="438">
        <v>0</v>
      </c>
      <c r="L29" s="438"/>
      <c r="M29" s="439">
        <v>0</v>
      </c>
      <c r="N29" s="439"/>
      <c r="O29" s="439">
        <v>0</v>
      </c>
      <c r="P29" s="439"/>
      <c r="Q29" s="439">
        <v>0</v>
      </c>
      <c r="R29" s="438">
        <f>I29*$C$2+K29+((M29*$C$2+O29)*Q29)</f>
        <v>0</v>
      </c>
      <c r="S29" s="438">
        <f>J29*$C$2+L29+((N29*$C$2+P29)*$Q29)</f>
        <v>0</v>
      </c>
      <c r="T29" s="439">
        <f>I29+(M29*5)</f>
        <v>0</v>
      </c>
      <c r="U29" s="439">
        <f>J29+(N29*5)</f>
        <v>0</v>
      </c>
      <c r="V29" s="442" t="s">
        <v>290</v>
      </c>
      <c r="W29" s="437" t="s">
        <v>257</v>
      </c>
    </row>
    <row r="30" spans="1:23" ht="111.75" customHeight="1">
      <c r="A30" s="744"/>
      <c r="B30" s="744"/>
      <c r="C30" s="744"/>
      <c r="D30" s="744"/>
      <c r="E30" s="744"/>
      <c r="F30" s="744"/>
      <c r="G30" s="744"/>
      <c r="H30" s="744"/>
      <c r="I30" s="749"/>
      <c r="J30" s="749"/>
      <c r="K30" s="750"/>
      <c r="L30" s="750"/>
      <c r="M30" s="750"/>
      <c r="N30" s="750"/>
      <c r="O30" s="750"/>
      <c r="P30" s="750"/>
      <c r="Q30" s="751" t="s">
        <v>330</v>
      </c>
      <c r="R30" s="752">
        <f>ROUND((SUM(R18:R29)),3-(INT(LOG((SUM(R18:R29)))+1)))</f>
        <v>17200</v>
      </c>
      <c r="S30" s="752">
        <f>ROUND((SUM(S18:S29)),3-(INT(LOG((SUM(S18:S29)))+1)))</f>
        <v>34400</v>
      </c>
      <c r="T30" s="753">
        <f>ROUND((SUM(T18:T29)),3-(INT(LOG((SUM(T18:T29)))+1)))</f>
        <v>142</v>
      </c>
      <c r="U30" s="753">
        <f>ROUND((SUM(U18:U29)),3-(INT(LOG((SUM(U18:U29)))+1)))</f>
        <v>284</v>
      </c>
      <c r="V30" s="754"/>
      <c r="W30" s="744"/>
    </row>
    <row r="31" spans="1:4" ht="96.75" customHeight="1">
      <c r="A31" s="2"/>
      <c r="B31" s="2"/>
      <c r="D31" s="3"/>
    </row>
    <row r="32" ht="96.75" customHeight="1"/>
    <row r="33" spans="3:22" ht="13.5">
      <c r="C33"/>
      <c r="E33"/>
      <c r="F33"/>
      <c r="I33"/>
      <c r="J33"/>
      <c r="K33"/>
      <c r="L33"/>
      <c r="M33"/>
      <c r="N33"/>
      <c r="O33"/>
      <c r="P33"/>
      <c r="Q33"/>
      <c r="R33"/>
      <c r="S33"/>
      <c r="T33"/>
      <c r="U33"/>
      <c r="V33"/>
    </row>
  </sheetData>
  <sheetProtection/>
  <mergeCells count="32">
    <mergeCell ref="E14:E16"/>
    <mergeCell ref="F14:G16"/>
    <mergeCell ref="H14:H16"/>
    <mergeCell ref="M14:P14"/>
    <mergeCell ref="Q14:Q16"/>
    <mergeCell ref="R14:U14"/>
    <mergeCell ref="R15:S15"/>
    <mergeCell ref="T15:U15"/>
    <mergeCell ref="F17:G17"/>
    <mergeCell ref="I14:L14"/>
    <mergeCell ref="I15:J15"/>
    <mergeCell ref="K15:L15"/>
    <mergeCell ref="M15:N15"/>
    <mergeCell ref="O15:P15"/>
    <mergeCell ref="A1:C1"/>
    <mergeCell ref="A2:B2"/>
    <mergeCell ref="B5:C5"/>
    <mergeCell ref="D5:E5"/>
    <mergeCell ref="A3:B3"/>
    <mergeCell ref="F18:G18"/>
    <mergeCell ref="A14:A16"/>
    <mergeCell ref="B14:B16"/>
    <mergeCell ref="C14:C16"/>
    <mergeCell ref="D14:D16"/>
    <mergeCell ref="F28:G28"/>
    <mergeCell ref="F19:G19"/>
    <mergeCell ref="F20:G20"/>
    <mergeCell ref="F22:G22"/>
    <mergeCell ref="F23:G23"/>
    <mergeCell ref="F25:G25"/>
    <mergeCell ref="F26:G26"/>
    <mergeCell ref="F29:G29"/>
  </mergeCells>
  <printOptions/>
  <pageMargins left="0.7" right="0.7" top="0.75" bottom="0.75" header="0.3" footer="0.3"/>
  <pageSetup fitToHeight="1" fitToWidth="1" orientation="landscape" scale="37"/>
  <colBreaks count="1" manualBreakCount="1">
    <brk id="23" min="9" max="1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Emily DiFranco</cp:lastModifiedBy>
  <cp:lastPrinted>2015-12-01T14:50:36Z</cp:lastPrinted>
  <dcterms:created xsi:type="dcterms:W3CDTF">2014-12-03T21:02:53Z</dcterms:created>
  <dcterms:modified xsi:type="dcterms:W3CDTF">2016-01-18T11:42:41Z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