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45" yWindow="195" windowWidth="22815" windowHeight="10965" tabRatio="754"/>
  </bookViews>
  <sheets>
    <sheet name="Introduction" sheetId="12" r:id="rId1"/>
    <sheet name="POTW Discharge" sheetId="9" r:id="rId2"/>
    <sheet name="Wastewater Collection System" sheetId="22" r:id="rId3"/>
    <sheet name="Weir" sheetId="15" r:id="rId4"/>
    <sheet name="Oil-Water Separators" sheetId="1" r:id="rId5"/>
    <sheet name="DAF" sheetId="2" r:id="rId6"/>
    <sheet name="EQ Tanks" sheetId="5" r:id="rId7"/>
    <sheet name="Bio. Diff. Aer. Act. Sldg." sheetId="6" r:id="rId8"/>
    <sheet name="Bio. Mech. Aer. Act. Sldg." sheetId="4" r:id="rId9"/>
    <sheet name="Quiescent Unit" sheetId="24" r:id="rId10"/>
    <sheet name="Chemical Properties" sheetId="8" r:id="rId11"/>
  </sheets>
  <definedNames>
    <definedName name="minWindSpd">Introduction!$T$17</definedName>
    <definedName name="_xlnm.Print_Area" localSheetId="5">DAF!$J$81</definedName>
  </definedNames>
  <calcPr calcId="125725"/>
</workbook>
</file>

<file path=xl/calcChain.xml><?xml version="1.0" encoding="utf-8"?>
<calcChain xmlns="http://schemas.openxmlformats.org/spreadsheetml/2006/main">
  <c r="F8" i="9"/>
  <c r="F9"/>
  <c r="F10"/>
  <c r="F11"/>
  <c r="F12"/>
  <c r="F13"/>
  <c r="F14"/>
  <c r="F15"/>
  <c r="F16"/>
  <c r="F17"/>
  <c r="F18"/>
  <c r="F19"/>
  <c r="F20"/>
  <c r="F21"/>
  <c r="F22"/>
  <c r="F23"/>
  <c r="F24"/>
  <c r="F25"/>
  <c r="F26"/>
  <c r="F27"/>
  <c r="F28"/>
  <c r="F29"/>
  <c r="F30"/>
  <c r="F31"/>
  <c r="F32"/>
  <c r="F7"/>
  <c r="N84" i="4"/>
  <c r="N79" i="24"/>
  <c r="N109"/>
  <c r="N108"/>
  <c r="N107"/>
  <c r="N106"/>
  <c r="N105"/>
  <c r="N104"/>
  <c r="N103"/>
  <c r="N102"/>
  <c r="N101"/>
  <c r="N100"/>
  <c r="N99"/>
  <c r="N98"/>
  <c r="N97"/>
  <c r="N96"/>
  <c r="N95"/>
  <c r="N94"/>
  <c r="N93"/>
  <c r="N92"/>
  <c r="N91"/>
  <c r="N90"/>
  <c r="N89"/>
  <c r="N88"/>
  <c r="N87"/>
  <c r="N86"/>
  <c r="N85"/>
  <c r="N84"/>
  <c r="N77"/>
  <c r="N76"/>
  <c r="X72"/>
  <c r="X71"/>
  <c r="X70"/>
  <c r="X69"/>
  <c r="X68"/>
  <c r="X67"/>
  <c r="X66"/>
  <c r="X65"/>
  <c r="X64"/>
  <c r="X63"/>
  <c r="X62"/>
  <c r="X61"/>
  <c r="X60"/>
  <c r="X59"/>
  <c r="X58"/>
  <c r="X57"/>
  <c r="X56"/>
  <c r="X55"/>
  <c r="X54"/>
  <c r="X53"/>
  <c r="X52"/>
  <c r="X51"/>
  <c r="X50"/>
  <c r="X49"/>
  <c r="X48"/>
  <c r="X47"/>
  <c r="M44"/>
  <c r="N43"/>
  <c r="F10"/>
  <c r="F9"/>
  <c r="F7"/>
  <c r="F6"/>
  <c r="F5"/>
  <c r="F4"/>
  <c r="F3"/>
  <c r="J35" i="1"/>
  <c r="M44" i="4"/>
  <c r="M44" i="6"/>
  <c r="M44" i="5"/>
  <c r="M44" i="2"/>
  <c r="N43" i="4"/>
  <c r="N43" i="6"/>
  <c r="N43" i="5"/>
  <c r="N43" i="2"/>
  <c r="K34" i="1"/>
  <c r="R72" i="5"/>
  <c r="R71"/>
  <c r="R70"/>
  <c r="R69"/>
  <c r="R68"/>
  <c r="R67"/>
  <c r="R66"/>
  <c r="R65"/>
  <c r="R64"/>
  <c r="R63"/>
  <c r="R62"/>
  <c r="R61"/>
  <c r="R60"/>
  <c r="R59"/>
  <c r="R58"/>
  <c r="R57"/>
  <c r="R56"/>
  <c r="R55"/>
  <c r="R54"/>
  <c r="R53"/>
  <c r="R52"/>
  <c r="R51"/>
  <c r="R50"/>
  <c r="R49"/>
  <c r="R48"/>
  <c r="R47"/>
  <c r="N83" i="6"/>
  <c r="B18" i="22"/>
  <c r="B19"/>
  <c r="B20"/>
  <c r="B21"/>
  <c r="B17"/>
  <c r="L40" i="15"/>
  <c r="O54" i="24" l="1"/>
  <c r="Q54" s="1"/>
  <c r="N71"/>
  <c r="N69"/>
  <c r="N67"/>
  <c r="N65"/>
  <c r="N63"/>
  <c r="N61"/>
  <c r="N59"/>
  <c r="N57"/>
  <c r="N72"/>
  <c r="N70"/>
  <c r="N68"/>
  <c r="N66"/>
  <c r="N64"/>
  <c r="N62"/>
  <c r="N60"/>
  <c r="N58"/>
  <c r="R71"/>
  <c r="R69"/>
  <c r="R67"/>
  <c r="R65"/>
  <c r="R63"/>
  <c r="R61"/>
  <c r="R59"/>
  <c r="R57"/>
  <c r="R72"/>
  <c r="R70"/>
  <c r="R68"/>
  <c r="R66"/>
  <c r="R64"/>
  <c r="R62"/>
  <c r="R60"/>
  <c r="R58"/>
  <c r="R56"/>
  <c r="U72"/>
  <c r="U70"/>
  <c r="U68"/>
  <c r="U66"/>
  <c r="U64"/>
  <c r="U62"/>
  <c r="U60"/>
  <c r="U58"/>
  <c r="U56"/>
  <c r="U71"/>
  <c r="U69"/>
  <c r="U67"/>
  <c r="U65"/>
  <c r="U63"/>
  <c r="U61"/>
  <c r="U59"/>
  <c r="U57"/>
  <c r="N78"/>
  <c r="P71" s="1"/>
  <c r="N47"/>
  <c r="R47"/>
  <c r="O48"/>
  <c r="Q48" s="1"/>
  <c r="U48"/>
  <c r="N49"/>
  <c r="R49"/>
  <c r="O50"/>
  <c r="Q50" s="1"/>
  <c r="U50"/>
  <c r="N51"/>
  <c r="P51" s="1"/>
  <c r="R51"/>
  <c r="O52"/>
  <c r="Q52" s="1"/>
  <c r="U52"/>
  <c r="N53"/>
  <c r="P53" s="1"/>
  <c r="R53"/>
  <c r="U54"/>
  <c r="N55"/>
  <c r="P55" s="1"/>
  <c r="R55"/>
  <c r="O72"/>
  <c r="Q72" s="1"/>
  <c r="O70"/>
  <c r="Q70" s="1"/>
  <c r="O68"/>
  <c r="Q68" s="1"/>
  <c r="O66"/>
  <c r="Q66" s="1"/>
  <c r="O64"/>
  <c r="Q64" s="1"/>
  <c r="O62"/>
  <c r="Q62" s="1"/>
  <c r="O60"/>
  <c r="Q60" s="1"/>
  <c r="O58"/>
  <c r="Q58" s="1"/>
  <c r="O56"/>
  <c r="Q56" s="1"/>
  <c r="O71"/>
  <c r="Q71" s="1"/>
  <c r="O69"/>
  <c r="Q69" s="1"/>
  <c r="O67"/>
  <c r="Q67" s="1"/>
  <c r="O65"/>
  <c r="Q65" s="1"/>
  <c r="O63"/>
  <c r="Q63" s="1"/>
  <c r="O61"/>
  <c r="Q61" s="1"/>
  <c r="O59"/>
  <c r="Q59" s="1"/>
  <c r="O57"/>
  <c r="Q57" s="1"/>
  <c r="O47"/>
  <c r="Q47" s="1"/>
  <c r="U47"/>
  <c r="N48"/>
  <c r="P48" s="1"/>
  <c r="R48"/>
  <c r="O49"/>
  <c r="Q49" s="1"/>
  <c r="U49"/>
  <c r="N50"/>
  <c r="P50" s="1"/>
  <c r="R50"/>
  <c r="O51"/>
  <c r="Q51" s="1"/>
  <c r="U51"/>
  <c r="N52"/>
  <c r="P52" s="1"/>
  <c r="R52"/>
  <c r="O53"/>
  <c r="Q53" s="1"/>
  <c r="U53"/>
  <c r="N54"/>
  <c r="P54" s="1"/>
  <c r="R54"/>
  <c r="O55"/>
  <c r="Q55" s="1"/>
  <c r="U55"/>
  <c r="N56"/>
  <c r="P56" s="1"/>
  <c r="F61" i="22"/>
  <c r="F62"/>
  <c r="F63"/>
  <c r="F64"/>
  <c r="F65"/>
  <c r="F66"/>
  <c r="F67"/>
  <c r="F68"/>
  <c r="F69"/>
  <c r="F70"/>
  <c r="F71"/>
  <c r="F72"/>
  <c r="F73"/>
  <c r="F74"/>
  <c r="F75"/>
  <c r="F76"/>
  <c r="F77"/>
  <c r="F78"/>
  <c r="F79"/>
  <c r="F80"/>
  <c r="F81"/>
  <c r="F82"/>
  <c r="F83"/>
  <c r="F84"/>
  <c r="F85"/>
  <c r="F60"/>
  <c r="E94"/>
  <c r="F94" s="1"/>
  <c r="E95"/>
  <c r="F95" s="1"/>
  <c r="E96"/>
  <c r="F96" s="1"/>
  <c r="E97"/>
  <c r="F97" s="1"/>
  <c r="E98"/>
  <c r="F98" s="1"/>
  <c r="E99"/>
  <c r="F99" s="1"/>
  <c r="E100"/>
  <c r="F100" s="1"/>
  <c r="E101"/>
  <c r="F101" s="1"/>
  <c r="E102"/>
  <c r="F102" s="1"/>
  <c r="E103"/>
  <c r="F103" s="1"/>
  <c r="E104"/>
  <c r="F104" s="1"/>
  <c r="E105"/>
  <c r="F105" s="1"/>
  <c r="E106"/>
  <c r="F106" s="1"/>
  <c r="E107"/>
  <c r="F107" s="1"/>
  <c r="E108"/>
  <c r="F108" s="1"/>
  <c r="E109"/>
  <c r="F109" s="1"/>
  <c r="E110"/>
  <c r="F110" s="1"/>
  <c r="E111"/>
  <c r="F111" s="1"/>
  <c r="E112"/>
  <c r="F112" s="1"/>
  <c r="E113"/>
  <c r="F113" s="1"/>
  <c r="E114"/>
  <c r="F114" s="1"/>
  <c r="E115"/>
  <c r="F115" s="1"/>
  <c r="E116"/>
  <c r="F116" s="1"/>
  <c r="E117"/>
  <c r="F117" s="1"/>
  <c r="E118"/>
  <c r="F118" s="1"/>
  <c r="E93"/>
  <c r="F93" s="1"/>
  <c r="B94"/>
  <c r="C94" s="1"/>
  <c r="B95"/>
  <c r="B96"/>
  <c r="C96" s="1"/>
  <c r="B97"/>
  <c r="B98"/>
  <c r="C98" s="1"/>
  <c r="B99"/>
  <c r="B100"/>
  <c r="C100" s="1"/>
  <c r="B101"/>
  <c r="B102"/>
  <c r="C102" s="1"/>
  <c r="B103"/>
  <c r="B104"/>
  <c r="C104" s="1"/>
  <c r="B105"/>
  <c r="B106"/>
  <c r="C106" s="1"/>
  <c r="B107"/>
  <c r="B108"/>
  <c r="C108" s="1"/>
  <c r="B109"/>
  <c r="B110"/>
  <c r="C110" s="1"/>
  <c r="B111"/>
  <c r="B112"/>
  <c r="C112" s="1"/>
  <c r="B113"/>
  <c r="B114"/>
  <c r="C114" s="1"/>
  <c r="B115"/>
  <c r="C115" s="1"/>
  <c r="B116"/>
  <c r="B117"/>
  <c r="C117" s="1"/>
  <c r="B118"/>
  <c r="B93"/>
  <c r="I93"/>
  <c r="J93" s="1"/>
  <c r="K94"/>
  <c r="L94" s="1"/>
  <c r="K95"/>
  <c r="L95" s="1"/>
  <c r="K96"/>
  <c r="L96" s="1"/>
  <c r="K97"/>
  <c r="L97" s="1"/>
  <c r="K98"/>
  <c r="L98" s="1"/>
  <c r="K99"/>
  <c r="L99" s="1"/>
  <c r="K100"/>
  <c r="L100" s="1"/>
  <c r="K101"/>
  <c r="L101" s="1"/>
  <c r="K102"/>
  <c r="L102" s="1"/>
  <c r="K103"/>
  <c r="L103" s="1"/>
  <c r="K104"/>
  <c r="L104" s="1"/>
  <c r="K105"/>
  <c r="L105" s="1"/>
  <c r="K106"/>
  <c r="L106" s="1"/>
  <c r="K107"/>
  <c r="L107" s="1"/>
  <c r="K108"/>
  <c r="L108" s="1"/>
  <c r="K109"/>
  <c r="L109" s="1"/>
  <c r="K110"/>
  <c r="L110" s="1"/>
  <c r="K111"/>
  <c r="L111" s="1"/>
  <c r="K112"/>
  <c r="L112" s="1"/>
  <c r="K113"/>
  <c r="L113" s="1"/>
  <c r="K114"/>
  <c r="L114" s="1"/>
  <c r="K115"/>
  <c r="L115" s="1"/>
  <c r="K116"/>
  <c r="L116" s="1"/>
  <c r="K117"/>
  <c r="L117" s="1"/>
  <c r="K118"/>
  <c r="L118" s="1"/>
  <c r="K93"/>
  <c r="L93" s="1"/>
  <c r="I94"/>
  <c r="J94" s="1"/>
  <c r="I95"/>
  <c r="J95" s="1"/>
  <c r="I96"/>
  <c r="J96" s="1"/>
  <c r="I97"/>
  <c r="J97" s="1"/>
  <c r="I98"/>
  <c r="J98" s="1"/>
  <c r="I99"/>
  <c r="J99" s="1"/>
  <c r="I100"/>
  <c r="J100" s="1"/>
  <c r="I101"/>
  <c r="J101" s="1"/>
  <c r="I102"/>
  <c r="J102" s="1"/>
  <c r="I103"/>
  <c r="J103" s="1"/>
  <c r="I104"/>
  <c r="J104" s="1"/>
  <c r="I105"/>
  <c r="J105" s="1"/>
  <c r="I106"/>
  <c r="J106" s="1"/>
  <c r="I107"/>
  <c r="J107" s="1"/>
  <c r="I108"/>
  <c r="J108" s="1"/>
  <c r="I109"/>
  <c r="J109" s="1"/>
  <c r="I110"/>
  <c r="J110" s="1"/>
  <c r="I111"/>
  <c r="J111" s="1"/>
  <c r="I112"/>
  <c r="J112" s="1"/>
  <c r="I113"/>
  <c r="J113" s="1"/>
  <c r="I114"/>
  <c r="J114" s="1"/>
  <c r="I115"/>
  <c r="J115" s="1"/>
  <c r="I116"/>
  <c r="J116" s="1"/>
  <c r="I117"/>
  <c r="J117" s="1"/>
  <c r="I118"/>
  <c r="J118" s="1"/>
  <c r="G94"/>
  <c r="H94" s="1"/>
  <c r="G95"/>
  <c r="H95" s="1"/>
  <c r="G96"/>
  <c r="H96" s="1"/>
  <c r="G97"/>
  <c r="H97"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93"/>
  <c r="H93" s="1"/>
  <c r="D94"/>
  <c r="D95"/>
  <c r="D96"/>
  <c r="D97"/>
  <c r="D98"/>
  <c r="D99"/>
  <c r="D100"/>
  <c r="D101"/>
  <c r="D102"/>
  <c r="D103"/>
  <c r="D104"/>
  <c r="D105"/>
  <c r="D106"/>
  <c r="D107"/>
  <c r="D108"/>
  <c r="D109"/>
  <c r="D110"/>
  <c r="D111"/>
  <c r="D112"/>
  <c r="D113"/>
  <c r="D114"/>
  <c r="D115"/>
  <c r="D116"/>
  <c r="D117"/>
  <c r="D118"/>
  <c r="D93"/>
  <c r="P64" i="24" l="1"/>
  <c r="P58"/>
  <c r="S58" s="1"/>
  <c r="T58" s="1"/>
  <c r="P72"/>
  <c r="S56"/>
  <c r="T56" s="1"/>
  <c r="P49"/>
  <c r="P47"/>
  <c r="S47" s="1"/>
  <c r="T47" s="1"/>
  <c r="P60"/>
  <c r="P68"/>
  <c r="S68" s="1"/>
  <c r="T68" s="1"/>
  <c r="P59"/>
  <c r="P63"/>
  <c r="S63" s="1"/>
  <c r="T63" s="1"/>
  <c r="P62"/>
  <c r="P66"/>
  <c r="S66" s="1"/>
  <c r="T66" s="1"/>
  <c r="P70"/>
  <c r="S70" s="1"/>
  <c r="T70" s="1"/>
  <c r="P57"/>
  <c r="S57" s="1"/>
  <c r="T57" s="1"/>
  <c r="P61"/>
  <c r="S61" s="1"/>
  <c r="T61" s="1"/>
  <c r="P65"/>
  <c r="S65" s="1"/>
  <c r="T65" s="1"/>
  <c r="P69"/>
  <c r="S69" s="1"/>
  <c r="T69" s="1"/>
  <c r="P67"/>
  <c r="S67" s="1"/>
  <c r="T67" s="1"/>
  <c r="S52"/>
  <c r="T52" s="1"/>
  <c r="S48"/>
  <c r="T48" s="1"/>
  <c r="S55"/>
  <c r="T55" s="1"/>
  <c r="S53"/>
  <c r="T53" s="1"/>
  <c r="S49"/>
  <c r="T49" s="1"/>
  <c r="S54"/>
  <c r="T54" s="1"/>
  <c r="S50"/>
  <c r="T50" s="1"/>
  <c r="S51"/>
  <c r="T51" s="1"/>
  <c r="S60"/>
  <c r="T60" s="1"/>
  <c r="S62"/>
  <c r="T62" s="1"/>
  <c r="S64"/>
  <c r="T64" s="1"/>
  <c r="S72"/>
  <c r="T72" s="1"/>
  <c r="S59"/>
  <c r="T59" s="1"/>
  <c r="S71"/>
  <c r="T71" s="1"/>
  <c r="X51" i="22"/>
  <c r="T51"/>
  <c r="CB51"/>
  <c r="BX51"/>
  <c r="BT51"/>
  <c r="BP51"/>
  <c r="BL51"/>
  <c r="BH51"/>
  <c r="BD51"/>
  <c r="AZ51"/>
  <c r="AV51"/>
  <c r="AR51"/>
  <c r="AN51"/>
  <c r="AJ51"/>
  <c r="AF51"/>
  <c r="AB51"/>
  <c r="P51"/>
  <c r="L51"/>
  <c r="X49"/>
  <c r="T49"/>
  <c r="CB49"/>
  <c r="BX49"/>
  <c r="BT49"/>
  <c r="BP49"/>
  <c r="BL49"/>
  <c r="BH49"/>
  <c r="BD49"/>
  <c r="AZ49"/>
  <c r="AV49"/>
  <c r="AR49"/>
  <c r="AN49"/>
  <c r="AJ49"/>
  <c r="AF49"/>
  <c r="AB49"/>
  <c r="P49"/>
  <c r="L49"/>
  <c r="X48"/>
  <c r="T48"/>
  <c r="CB48"/>
  <c r="BX48"/>
  <c r="BT48"/>
  <c r="BP48"/>
  <c r="BL48"/>
  <c r="BH48"/>
  <c r="BD48"/>
  <c r="AZ48"/>
  <c r="AV48"/>
  <c r="AR48"/>
  <c r="AN48"/>
  <c r="AJ48"/>
  <c r="AF48"/>
  <c r="AB48"/>
  <c r="P48"/>
  <c r="L48"/>
  <c r="X46"/>
  <c r="T46"/>
  <c r="CB46"/>
  <c r="BX46"/>
  <c r="BT46"/>
  <c r="BP46"/>
  <c r="BL46"/>
  <c r="BH46"/>
  <c r="BD46"/>
  <c r="AZ46"/>
  <c r="AV46"/>
  <c r="AR46"/>
  <c r="AN46"/>
  <c r="AJ46"/>
  <c r="AF46"/>
  <c r="AB46"/>
  <c r="P46"/>
  <c r="L46"/>
  <c r="X44"/>
  <c r="T44"/>
  <c r="CB44"/>
  <c r="BX44"/>
  <c r="BT44"/>
  <c r="BP44"/>
  <c r="BL44"/>
  <c r="BH44"/>
  <c r="BD44"/>
  <c r="AZ44"/>
  <c r="AV44"/>
  <c r="AR44"/>
  <c r="AN44"/>
  <c r="AJ44"/>
  <c r="AF44"/>
  <c r="AB44"/>
  <c r="P44"/>
  <c r="L44"/>
  <c r="X42"/>
  <c r="T42"/>
  <c r="CB42"/>
  <c r="BX42"/>
  <c r="BT42"/>
  <c r="BP42"/>
  <c r="BL42"/>
  <c r="BH42"/>
  <c r="BD42"/>
  <c r="AZ42"/>
  <c r="AV42"/>
  <c r="AR42"/>
  <c r="AN42"/>
  <c r="AJ42"/>
  <c r="AF42"/>
  <c r="AB42"/>
  <c r="P42"/>
  <c r="L42"/>
  <c r="X40"/>
  <c r="T40"/>
  <c r="CB40"/>
  <c r="BX40"/>
  <c r="BT40"/>
  <c r="BP40"/>
  <c r="BL40"/>
  <c r="BH40"/>
  <c r="BD40"/>
  <c r="AZ40"/>
  <c r="AV40"/>
  <c r="AR40"/>
  <c r="AN40"/>
  <c r="AJ40"/>
  <c r="AF40"/>
  <c r="AB40"/>
  <c r="P40"/>
  <c r="L40"/>
  <c r="X38"/>
  <c r="T38"/>
  <c r="CB38"/>
  <c r="BX38"/>
  <c r="BT38"/>
  <c r="BP38"/>
  <c r="BL38"/>
  <c r="BH38"/>
  <c r="BD38"/>
  <c r="AZ38"/>
  <c r="AV38"/>
  <c r="AR38"/>
  <c r="AN38"/>
  <c r="AJ38"/>
  <c r="AF38"/>
  <c r="AB38"/>
  <c r="P38"/>
  <c r="L38"/>
  <c r="X36"/>
  <c r="T36"/>
  <c r="CB36"/>
  <c r="BX36"/>
  <c r="BT36"/>
  <c r="BP36"/>
  <c r="BL36"/>
  <c r="BH36"/>
  <c r="BD36"/>
  <c r="AZ36"/>
  <c r="AV36"/>
  <c r="AR36"/>
  <c r="AN36"/>
  <c r="AJ36"/>
  <c r="AF36"/>
  <c r="AB36"/>
  <c r="P36"/>
  <c r="L36"/>
  <c r="X34"/>
  <c r="T34"/>
  <c r="CB34"/>
  <c r="BX34"/>
  <c r="BT34"/>
  <c r="BP34"/>
  <c r="BL34"/>
  <c r="BH34"/>
  <c r="BD34"/>
  <c r="AZ34"/>
  <c r="AV34"/>
  <c r="AR34"/>
  <c r="AN34"/>
  <c r="AJ34"/>
  <c r="AF34"/>
  <c r="AB34"/>
  <c r="P34"/>
  <c r="L34"/>
  <c r="X32"/>
  <c r="T32"/>
  <c r="CB32"/>
  <c r="BX32"/>
  <c r="BT32"/>
  <c r="BP32"/>
  <c r="BL32"/>
  <c r="BH32"/>
  <c r="BD32"/>
  <c r="AZ32"/>
  <c r="AV32"/>
  <c r="AR32"/>
  <c r="AN32"/>
  <c r="AJ32"/>
  <c r="AF32"/>
  <c r="AB32"/>
  <c r="P32"/>
  <c r="L32"/>
  <c r="X30"/>
  <c r="T30"/>
  <c r="CB30"/>
  <c r="BX30"/>
  <c r="BT30"/>
  <c r="BP30"/>
  <c r="BL30"/>
  <c r="BH30"/>
  <c r="BD30"/>
  <c r="AZ30"/>
  <c r="AV30"/>
  <c r="AR30"/>
  <c r="AN30"/>
  <c r="AJ30"/>
  <c r="AF30"/>
  <c r="AB30"/>
  <c r="P30"/>
  <c r="L30"/>
  <c r="X28"/>
  <c r="T28"/>
  <c r="CB28"/>
  <c r="BX28"/>
  <c r="BT28"/>
  <c r="BP28"/>
  <c r="BL28"/>
  <c r="BH28"/>
  <c r="BD28"/>
  <c r="AZ28"/>
  <c r="AV28"/>
  <c r="AR28"/>
  <c r="AN28"/>
  <c r="AJ28"/>
  <c r="AF28"/>
  <c r="AB28"/>
  <c r="P28"/>
  <c r="L28"/>
  <c r="H51"/>
  <c r="H49"/>
  <c r="H48"/>
  <c r="H46"/>
  <c r="H44"/>
  <c r="H42"/>
  <c r="H40"/>
  <c r="H38"/>
  <c r="H36"/>
  <c r="H34"/>
  <c r="H32"/>
  <c r="H30"/>
  <c r="H28"/>
  <c r="D51"/>
  <c r="B84" s="1"/>
  <c r="D84" s="1"/>
  <c r="D49"/>
  <c r="B82" s="1"/>
  <c r="D82" s="1"/>
  <c r="D48"/>
  <c r="D46"/>
  <c r="D44"/>
  <c r="D42"/>
  <c r="D40"/>
  <c r="D38"/>
  <c r="D36"/>
  <c r="D34"/>
  <c r="D32"/>
  <c r="D30"/>
  <c r="D28"/>
  <c r="C93"/>
  <c r="C118"/>
  <c r="C116"/>
  <c r="C113"/>
  <c r="C111"/>
  <c r="C109"/>
  <c r="C107"/>
  <c r="C105"/>
  <c r="C103"/>
  <c r="C101"/>
  <c r="C99"/>
  <c r="C97"/>
  <c r="C95"/>
  <c r="W71" i="24" l="1"/>
  <c r="V71"/>
  <c r="W59"/>
  <c r="V59"/>
  <c r="V66"/>
  <c r="W66"/>
  <c r="V62"/>
  <c r="W62"/>
  <c r="V58"/>
  <c r="W58"/>
  <c r="V50"/>
  <c r="W50"/>
  <c r="M6" s="1"/>
  <c r="Q87" s="1"/>
  <c r="V49"/>
  <c r="W49"/>
  <c r="W55"/>
  <c r="V55"/>
  <c r="W52"/>
  <c r="V52"/>
  <c r="M8" s="1"/>
  <c r="Q89" s="1"/>
  <c r="V69"/>
  <c r="W69"/>
  <c r="V61"/>
  <c r="W61"/>
  <c r="M17" s="1"/>
  <c r="Q98" s="1"/>
  <c r="V70"/>
  <c r="W70"/>
  <c r="V65"/>
  <c r="W65"/>
  <c r="M21" s="1"/>
  <c r="Q102" s="1"/>
  <c r="W72"/>
  <c r="V72"/>
  <c r="W64"/>
  <c r="V64"/>
  <c r="W60"/>
  <c r="V60"/>
  <c r="W51"/>
  <c r="V51"/>
  <c r="V54"/>
  <c r="W54"/>
  <c r="M10" s="1"/>
  <c r="Q91" s="1"/>
  <c r="V53"/>
  <c r="W53"/>
  <c r="W48"/>
  <c r="V48"/>
  <c r="W67"/>
  <c r="V67"/>
  <c r="V57"/>
  <c r="W57"/>
  <c r="M13" s="1"/>
  <c r="Q94" s="1"/>
  <c r="W63"/>
  <c r="V63"/>
  <c r="M19" s="1"/>
  <c r="Q100" s="1"/>
  <c r="W68"/>
  <c r="V68"/>
  <c r="V47"/>
  <c r="W47"/>
  <c r="W56"/>
  <c r="V56"/>
  <c r="B67" i="22"/>
  <c r="D67" s="1"/>
  <c r="CB29"/>
  <c r="BX29"/>
  <c r="BT29"/>
  <c r="BP29"/>
  <c r="BL29"/>
  <c r="BH29"/>
  <c r="BD29"/>
  <c r="AZ29"/>
  <c r="AV29"/>
  <c r="AR29"/>
  <c r="AN29"/>
  <c r="AJ29"/>
  <c r="AF29"/>
  <c r="AB29"/>
  <c r="P29"/>
  <c r="X29"/>
  <c r="T29"/>
  <c r="L29"/>
  <c r="CB33"/>
  <c r="BX33"/>
  <c r="BT33"/>
  <c r="BP33"/>
  <c r="BL33"/>
  <c r="BH33"/>
  <c r="BD33"/>
  <c r="AZ33"/>
  <c r="AV33"/>
  <c r="AR33"/>
  <c r="AN33"/>
  <c r="AJ33"/>
  <c r="AF33"/>
  <c r="AB33"/>
  <c r="P33"/>
  <c r="X33"/>
  <c r="T33"/>
  <c r="L33"/>
  <c r="CB37"/>
  <c r="BX37"/>
  <c r="BT37"/>
  <c r="BP37"/>
  <c r="BL37"/>
  <c r="BH37"/>
  <c r="BD37"/>
  <c r="AZ37"/>
  <c r="AV37"/>
  <c r="AR37"/>
  <c r="AN37"/>
  <c r="AJ37"/>
  <c r="AF37"/>
  <c r="AB37"/>
  <c r="X37"/>
  <c r="T37"/>
  <c r="L37"/>
  <c r="P37"/>
  <c r="CB41"/>
  <c r="BX41"/>
  <c r="BT41"/>
  <c r="BP41"/>
  <c r="BL41"/>
  <c r="BH41"/>
  <c r="BD41"/>
  <c r="AZ41"/>
  <c r="AV41"/>
  <c r="AR41"/>
  <c r="AN41"/>
  <c r="AJ41"/>
  <c r="AF41"/>
  <c r="AB41"/>
  <c r="X41"/>
  <c r="T41"/>
  <c r="L41"/>
  <c r="P41"/>
  <c r="CB45"/>
  <c r="BX45"/>
  <c r="BT45"/>
  <c r="BP45"/>
  <c r="BL45"/>
  <c r="BH45"/>
  <c r="BD45"/>
  <c r="AZ45"/>
  <c r="AV45"/>
  <c r="AR45"/>
  <c r="AN45"/>
  <c r="AJ45"/>
  <c r="AF45"/>
  <c r="AB45"/>
  <c r="X45"/>
  <c r="T45"/>
  <c r="L45"/>
  <c r="P45"/>
  <c r="CB52"/>
  <c r="BX52"/>
  <c r="BT52"/>
  <c r="BP52"/>
  <c r="BL52"/>
  <c r="BH52"/>
  <c r="BD52"/>
  <c r="AZ52"/>
  <c r="AV52"/>
  <c r="AR52"/>
  <c r="AN52"/>
  <c r="AJ52"/>
  <c r="AF52"/>
  <c r="AB52"/>
  <c r="X52"/>
  <c r="T52"/>
  <c r="L52"/>
  <c r="P52"/>
  <c r="CB31"/>
  <c r="BX31"/>
  <c r="BT31"/>
  <c r="BP31"/>
  <c r="BL31"/>
  <c r="BH31"/>
  <c r="BD31"/>
  <c r="AZ31"/>
  <c r="AV31"/>
  <c r="AR31"/>
  <c r="AN31"/>
  <c r="AJ31"/>
  <c r="AF31"/>
  <c r="AB31"/>
  <c r="P31"/>
  <c r="X31"/>
  <c r="T31"/>
  <c r="L31"/>
  <c r="CB35"/>
  <c r="BX35"/>
  <c r="BT35"/>
  <c r="BP35"/>
  <c r="BL35"/>
  <c r="BH35"/>
  <c r="BD35"/>
  <c r="AZ35"/>
  <c r="AV35"/>
  <c r="AR35"/>
  <c r="AN35"/>
  <c r="AJ35"/>
  <c r="AF35"/>
  <c r="AB35"/>
  <c r="P35"/>
  <c r="X35"/>
  <c r="T35"/>
  <c r="L35"/>
  <c r="CB39"/>
  <c r="BX39"/>
  <c r="BT39"/>
  <c r="BP39"/>
  <c r="BL39"/>
  <c r="BH39"/>
  <c r="BD39"/>
  <c r="AZ39"/>
  <c r="AV39"/>
  <c r="AR39"/>
  <c r="AN39"/>
  <c r="AJ39"/>
  <c r="AF39"/>
  <c r="AB39"/>
  <c r="X39"/>
  <c r="T39"/>
  <c r="P39"/>
  <c r="L39"/>
  <c r="CB43"/>
  <c r="BX43"/>
  <c r="BT43"/>
  <c r="BP43"/>
  <c r="BL43"/>
  <c r="BH43"/>
  <c r="BD43"/>
  <c r="AZ43"/>
  <c r="AV43"/>
  <c r="AR43"/>
  <c r="AN43"/>
  <c r="AJ43"/>
  <c r="AF43"/>
  <c r="AB43"/>
  <c r="X43"/>
  <c r="T43"/>
  <c r="P43"/>
  <c r="L43"/>
  <c r="CB47"/>
  <c r="BX47"/>
  <c r="BT47"/>
  <c r="BP47"/>
  <c r="BL47"/>
  <c r="BH47"/>
  <c r="BD47"/>
  <c r="AZ47"/>
  <c r="AV47"/>
  <c r="AR47"/>
  <c r="AN47"/>
  <c r="AJ47"/>
  <c r="AF47"/>
  <c r="AB47"/>
  <c r="X47"/>
  <c r="T47"/>
  <c r="P47"/>
  <c r="L47"/>
  <c r="CB50"/>
  <c r="BX50"/>
  <c r="BT50"/>
  <c r="BP50"/>
  <c r="BL50"/>
  <c r="BH50"/>
  <c r="BD50"/>
  <c r="AZ50"/>
  <c r="AV50"/>
  <c r="AR50"/>
  <c r="AN50"/>
  <c r="AJ50"/>
  <c r="AF50"/>
  <c r="AB50"/>
  <c r="X50"/>
  <c r="T50"/>
  <c r="P50"/>
  <c r="L50"/>
  <c r="CB27"/>
  <c r="BX27"/>
  <c r="BT27"/>
  <c r="BP27"/>
  <c r="BL27"/>
  <c r="BH27"/>
  <c r="BD27"/>
  <c r="AZ27"/>
  <c r="AV27"/>
  <c r="AR27"/>
  <c r="AN27"/>
  <c r="AJ27"/>
  <c r="AF27"/>
  <c r="AB27"/>
  <c r="T27"/>
  <c r="X27"/>
  <c r="P27"/>
  <c r="L27"/>
  <c r="D31"/>
  <c r="H31"/>
  <c r="D35"/>
  <c r="H35"/>
  <c r="D39"/>
  <c r="H39"/>
  <c r="D43"/>
  <c r="H43"/>
  <c r="D47"/>
  <c r="H47"/>
  <c r="D50"/>
  <c r="H50"/>
  <c r="D27"/>
  <c r="H27"/>
  <c r="D29"/>
  <c r="H29"/>
  <c r="D33"/>
  <c r="H33"/>
  <c r="D37"/>
  <c r="H37"/>
  <c r="D41"/>
  <c r="H41"/>
  <c r="D45"/>
  <c r="H45"/>
  <c r="D52"/>
  <c r="H52"/>
  <c r="B83"/>
  <c r="D83" s="1"/>
  <c r="B73"/>
  <c r="D73" s="1"/>
  <c r="B63"/>
  <c r="D63" s="1"/>
  <c r="B81"/>
  <c r="D81" s="1"/>
  <c r="B61"/>
  <c r="D61" s="1"/>
  <c r="B65"/>
  <c r="D65" s="1"/>
  <c r="B69"/>
  <c r="D69" s="1"/>
  <c r="B71"/>
  <c r="D71" s="1"/>
  <c r="B77"/>
  <c r="D77" s="1"/>
  <c r="B75"/>
  <c r="D75" s="1"/>
  <c r="B79"/>
  <c r="D79" s="1"/>
  <c r="O47" i="6"/>
  <c r="P47" i="15"/>
  <c r="P48"/>
  <c r="P49"/>
  <c r="P50"/>
  <c r="P51"/>
  <c r="P52"/>
  <c r="P53"/>
  <c r="P54"/>
  <c r="P55"/>
  <c r="P56"/>
  <c r="P57"/>
  <c r="P58"/>
  <c r="P59"/>
  <c r="P60"/>
  <c r="P61"/>
  <c r="P62"/>
  <c r="P63"/>
  <c r="P64"/>
  <c r="P65"/>
  <c r="P66"/>
  <c r="P67"/>
  <c r="P68"/>
  <c r="P69"/>
  <c r="P70"/>
  <c r="P71"/>
  <c r="P46"/>
  <c r="L41"/>
  <c r="F5"/>
  <c r="M15" i="24" l="1"/>
  <c r="Q96" s="1"/>
  <c r="R96"/>
  <c r="R100"/>
  <c r="R102"/>
  <c r="R94"/>
  <c r="R87"/>
  <c r="U87" s="1"/>
  <c r="R89"/>
  <c r="V98"/>
  <c r="R98"/>
  <c r="R91"/>
  <c r="U91" s="1"/>
  <c r="O89"/>
  <c r="K21"/>
  <c r="P102" s="1"/>
  <c r="T102" s="1"/>
  <c r="O102"/>
  <c r="O94"/>
  <c r="O87"/>
  <c r="K15"/>
  <c r="P96" s="1"/>
  <c r="T96" s="1"/>
  <c r="O96"/>
  <c r="K19"/>
  <c r="P100" s="1"/>
  <c r="T100" s="1"/>
  <c r="O100"/>
  <c r="O98"/>
  <c r="O91"/>
  <c r="M9"/>
  <c r="Q90" s="1"/>
  <c r="M11"/>
  <c r="Q92" s="1"/>
  <c r="M16"/>
  <c r="Q97" s="1"/>
  <c r="M24"/>
  <c r="Q105" s="1"/>
  <c r="M5"/>
  <c r="Q86" s="1"/>
  <c r="M12"/>
  <c r="Q93" s="1"/>
  <c r="M20"/>
  <c r="Q101" s="1"/>
  <c r="M28"/>
  <c r="Q109" s="1"/>
  <c r="M27"/>
  <c r="Q108" s="1"/>
  <c r="M23"/>
  <c r="Q104" s="1"/>
  <c r="M26"/>
  <c r="Q107" s="1"/>
  <c r="M18"/>
  <c r="Q99" s="1"/>
  <c r="M14"/>
  <c r="Q95" s="1"/>
  <c r="M7"/>
  <c r="Q88" s="1"/>
  <c r="M3"/>
  <c r="Q84" s="1"/>
  <c r="M25"/>
  <c r="Q106" s="1"/>
  <c r="M4"/>
  <c r="Q85" s="1"/>
  <c r="K17"/>
  <c r="P98" s="1"/>
  <c r="T98" s="1"/>
  <c r="K13"/>
  <c r="P94" s="1"/>
  <c r="T94" s="1"/>
  <c r="K6"/>
  <c r="P87" s="1"/>
  <c r="T87" s="1"/>
  <c r="U96"/>
  <c r="V96"/>
  <c r="U100"/>
  <c r="V100"/>
  <c r="U98"/>
  <c r="U102"/>
  <c r="V102"/>
  <c r="U94"/>
  <c r="V94"/>
  <c r="V91"/>
  <c r="V87"/>
  <c r="K10"/>
  <c r="P91" s="1"/>
  <c r="T91" s="1"/>
  <c r="B76" i="22"/>
  <c r="D76" s="1"/>
  <c r="B66"/>
  <c r="D66" s="1"/>
  <c r="B62"/>
  <c r="D62" s="1"/>
  <c r="B72"/>
  <c r="D72" s="1"/>
  <c r="B64"/>
  <c r="D64" s="1"/>
  <c r="B74"/>
  <c r="D74" s="1"/>
  <c r="B80"/>
  <c r="D80" s="1"/>
  <c r="B85"/>
  <c r="D85" s="1"/>
  <c r="B78"/>
  <c r="D78" s="1"/>
  <c r="B70"/>
  <c r="D70" s="1"/>
  <c r="B60"/>
  <c r="D60" s="1"/>
  <c r="B68"/>
  <c r="D68" s="1"/>
  <c r="M47" i="15"/>
  <c r="M48"/>
  <c r="M49"/>
  <c r="M50"/>
  <c r="M51"/>
  <c r="M52"/>
  <c r="M53"/>
  <c r="M54"/>
  <c r="M55"/>
  <c r="M56"/>
  <c r="M57"/>
  <c r="M58"/>
  <c r="M59"/>
  <c r="M60"/>
  <c r="M61"/>
  <c r="M62"/>
  <c r="M63"/>
  <c r="M64"/>
  <c r="M65"/>
  <c r="M66"/>
  <c r="M67"/>
  <c r="M68"/>
  <c r="M69"/>
  <c r="M70"/>
  <c r="M71"/>
  <c r="M46"/>
  <c r="K47"/>
  <c r="K48"/>
  <c r="Q48" s="1"/>
  <c r="R48" s="1"/>
  <c r="K49"/>
  <c r="K50"/>
  <c r="Q50" s="1"/>
  <c r="R50" s="1"/>
  <c r="K51"/>
  <c r="Q51" s="1"/>
  <c r="R51" s="1"/>
  <c r="K52"/>
  <c r="Q52" s="1"/>
  <c r="R52" s="1"/>
  <c r="K53"/>
  <c r="Q53" s="1"/>
  <c r="R53" s="1"/>
  <c r="K54"/>
  <c r="Q54" s="1"/>
  <c r="R54" s="1"/>
  <c r="K55"/>
  <c r="Q55" s="1"/>
  <c r="R55" s="1"/>
  <c r="K56"/>
  <c r="Q56" s="1"/>
  <c r="R56" s="1"/>
  <c r="K57"/>
  <c r="Q57" s="1"/>
  <c r="R57" s="1"/>
  <c r="K58"/>
  <c r="Q58" s="1"/>
  <c r="R58" s="1"/>
  <c r="K59"/>
  <c r="Q59" s="1"/>
  <c r="R59" s="1"/>
  <c r="K60"/>
  <c r="Q60" s="1"/>
  <c r="R60" s="1"/>
  <c r="K61"/>
  <c r="Q61" s="1"/>
  <c r="R61" s="1"/>
  <c r="K62"/>
  <c r="Q62" s="1"/>
  <c r="R62" s="1"/>
  <c r="K63"/>
  <c r="Q63" s="1"/>
  <c r="R63" s="1"/>
  <c r="K64"/>
  <c r="Q64" s="1"/>
  <c r="R64" s="1"/>
  <c r="K65"/>
  <c r="Q65" s="1"/>
  <c r="R65" s="1"/>
  <c r="K66"/>
  <c r="Q66" s="1"/>
  <c r="R66" s="1"/>
  <c r="K67"/>
  <c r="Q67" s="1"/>
  <c r="R67" s="1"/>
  <c r="K68"/>
  <c r="K69"/>
  <c r="K70"/>
  <c r="Q70" s="1"/>
  <c r="R70" s="1"/>
  <c r="K71"/>
  <c r="Q71" s="1"/>
  <c r="R71" s="1"/>
  <c r="K46"/>
  <c r="Q46" s="1"/>
  <c r="R46" s="1"/>
  <c r="F4"/>
  <c r="L39"/>
  <c r="L47" s="1"/>
  <c r="R106" i="24" l="1"/>
  <c r="U106" s="1"/>
  <c r="R88"/>
  <c r="U88" s="1"/>
  <c r="R99"/>
  <c r="R104"/>
  <c r="U104" s="1"/>
  <c r="R109"/>
  <c r="R93"/>
  <c r="R105"/>
  <c r="V105"/>
  <c r="R92"/>
  <c r="U92" s="1"/>
  <c r="R85"/>
  <c r="U85" s="1"/>
  <c r="R95"/>
  <c r="V95"/>
  <c r="R107"/>
  <c r="R108"/>
  <c r="U108" s="1"/>
  <c r="R101"/>
  <c r="V101"/>
  <c r="R86"/>
  <c r="R97"/>
  <c r="U97" s="1"/>
  <c r="R90"/>
  <c r="K3"/>
  <c r="P84" s="1"/>
  <c r="T84" s="1"/>
  <c r="R84"/>
  <c r="U84" s="1"/>
  <c r="K25"/>
  <c r="P106" s="1"/>
  <c r="T106" s="1"/>
  <c r="O106"/>
  <c r="V106"/>
  <c r="O88"/>
  <c r="O99"/>
  <c r="K23"/>
  <c r="P104" s="1"/>
  <c r="T104" s="1"/>
  <c r="O104"/>
  <c r="V104"/>
  <c r="O109"/>
  <c r="O93"/>
  <c r="O105"/>
  <c r="O92"/>
  <c r="V92"/>
  <c r="K4"/>
  <c r="P85" s="1"/>
  <c r="T85" s="1"/>
  <c r="V85"/>
  <c r="O85"/>
  <c r="O84"/>
  <c r="S84" s="1"/>
  <c r="O95"/>
  <c r="V107"/>
  <c r="O107"/>
  <c r="K27"/>
  <c r="P108" s="1"/>
  <c r="T108" s="1"/>
  <c r="O108"/>
  <c r="S108" s="1"/>
  <c r="V108"/>
  <c r="O101"/>
  <c r="O86"/>
  <c r="O97"/>
  <c r="O90"/>
  <c r="M22"/>
  <c r="Q103" s="1"/>
  <c r="V84"/>
  <c r="U105"/>
  <c r="K24"/>
  <c r="P105" s="1"/>
  <c r="T105" s="1"/>
  <c r="U107"/>
  <c r="K26"/>
  <c r="P107" s="1"/>
  <c r="T107" s="1"/>
  <c r="K11"/>
  <c r="P92" s="1"/>
  <c r="T92" s="1"/>
  <c r="U93"/>
  <c r="V93"/>
  <c r="K12"/>
  <c r="P93" s="1"/>
  <c r="T93" s="1"/>
  <c r="W87"/>
  <c r="S87"/>
  <c r="W94"/>
  <c r="S94"/>
  <c r="V88"/>
  <c r="K7"/>
  <c r="P88" s="1"/>
  <c r="T88" s="1"/>
  <c r="V97"/>
  <c r="K16"/>
  <c r="P97" s="1"/>
  <c r="T97" s="1"/>
  <c r="U86"/>
  <c r="V86"/>
  <c r="K5"/>
  <c r="P86" s="1"/>
  <c r="T86" s="1"/>
  <c r="W98"/>
  <c r="S98"/>
  <c r="W100"/>
  <c r="S100"/>
  <c r="U95"/>
  <c r="K14"/>
  <c r="P95" s="1"/>
  <c r="T95" s="1"/>
  <c r="U109"/>
  <c r="V109"/>
  <c r="K28"/>
  <c r="P109" s="1"/>
  <c r="T109" s="1"/>
  <c r="U90"/>
  <c r="V90"/>
  <c r="K9"/>
  <c r="P90" s="1"/>
  <c r="T90" s="1"/>
  <c r="W91"/>
  <c r="S91"/>
  <c r="W102"/>
  <c r="S102"/>
  <c r="S104"/>
  <c r="U99"/>
  <c r="V99"/>
  <c r="K18"/>
  <c r="P99" s="1"/>
  <c r="T99" s="1"/>
  <c r="U101"/>
  <c r="K20"/>
  <c r="P101" s="1"/>
  <c r="T101" s="1"/>
  <c r="U89"/>
  <c r="V89"/>
  <c r="K8"/>
  <c r="P89" s="1"/>
  <c r="T89" s="1"/>
  <c r="W106"/>
  <c r="S106"/>
  <c r="W96"/>
  <c r="S96"/>
  <c r="W85"/>
  <c r="S85"/>
  <c r="Q49" i="15"/>
  <c r="R49" s="1"/>
  <c r="Q47"/>
  <c r="R47" s="1"/>
  <c r="Q68"/>
  <c r="R68" s="1"/>
  <c r="Q69"/>
  <c r="R69" s="1"/>
  <c r="K24"/>
  <c r="L46"/>
  <c r="L71"/>
  <c r="N71" s="1"/>
  <c r="O71" s="1"/>
  <c r="L69"/>
  <c r="L66"/>
  <c r="L64"/>
  <c r="N64" s="1"/>
  <c r="O64" s="1"/>
  <c r="L62"/>
  <c r="L60"/>
  <c r="N60" s="1"/>
  <c r="O60" s="1"/>
  <c r="L58"/>
  <c r="L56"/>
  <c r="N56" s="1"/>
  <c r="O56" s="1"/>
  <c r="L54"/>
  <c r="L52"/>
  <c r="N52" s="1"/>
  <c r="O52" s="1"/>
  <c r="L50"/>
  <c r="L48"/>
  <c r="N48" s="1"/>
  <c r="O48" s="1"/>
  <c r="L70"/>
  <c r="N70" s="1"/>
  <c r="O70" s="1"/>
  <c r="L68"/>
  <c r="N68" s="1"/>
  <c r="O68" s="1"/>
  <c r="L67"/>
  <c r="N67" s="1"/>
  <c r="O67" s="1"/>
  <c r="L65"/>
  <c r="L63"/>
  <c r="N63" s="1"/>
  <c r="O63" s="1"/>
  <c r="L61"/>
  <c r="N61" s="1"/>
  <c r="O61" s="1"/>
  <c r="L59"/>
  <c r="N59" s="1"/>
  <c r="O59" s="1"/>
  <c r="L57"/>
  <c r="L55"/>
  <c r="N55" s="1"/>
  <c r="O55" s="1"/>
  <c r="L53"/>
  <c r="N53" s="1"/>
  <c r="O53" s="1"/>
  <c r="L51"/>
  <c r="N51" s="1"/>
  <c r="O51" s="1"/>
  <c r="L49"/>
  <c r="N49" s="1"/>
  <c r="O49" s="1"/>
  <c r="N65"/>
  <c r="O65" s="1"/>
  <c r="N57"/>
  <c r="O57" s="1"/>
  <c r="N47"/>
  <c r="O47" s="1"/>
  <c r="N46"/>
  <c r="O46" s="1"/>
  <c r="N69"/>
  <c r="O69" s="1"/>
  <c r="N66"/>
  <c r="O66" s="1"/>
  <c r="N62"/>
  <c r="O62" s="1"/>
  <c r="N58"/>
  <c r="O58" s="1"/>
  <c r="N54"/>
  <c r="O54" s="1"/>
  <c r="N50"/>
  <c r="O50" s="1"/>
  <c r="Z37" i="5"/>
  <c r="Z36"/>
  <c r="Z35"/>
  <c r="Z34"/>
  <c r="Z33"/>
  <c r="K104" i="15"/>
  <c r="K28" s="1"/>
  <c r="K103"/>
  <c r="S70" s="1"/>
  <c r="K102"/>
  <c r="K101"/>
  <c r="S68" s="1"/>
  <c r="K100"/>
  <c r="S67" s="1"/>
  <c r="K99"/>
  <c r="K23" s="1"/>
  <c r="K98"/>
  <c r="S65" s="1"/>
  <c r="K97"/>
  <c r="K21" s="1"/>
  <c r="K96"/>
  <c r="S63" s="1"/>
  <c r="K95"/>
  <c r="K19" s="1"/>
  <c r="K94"/>
  <c r="S61" s="1"/>
  <c r="K93"/>
  <c r="K17" s="1"/>
  <c r="K92"/>
  <c r="S59" s="1"/>
  <c r="K91"/>
  <c r="K15" s="1"/>
  <c r="K90"/>
  <c r="S57" s="1"/>
  <c r="K89"/>
  <c r="K13" s="1"/>
  <c r="K88"/>
  <c r="S55" s="1"/>
  <c r="K87"/>
  <c r="K11" s="1"/>
  <c r="K86"/>
  <c r="S53" s="1"/>
  <c r="K85"/>
  <c r="K9" s="1"/>
  <c r="K84"/>
  <c r="S51" s="1"/>
  <c r="K83"/>
  <c r="K7" s="1"/>
  <c r="K82"/>
  <c r="S49" s="1"/>
  <c r="K81"/>
  <c r="K5" s="1"/>
  <c r="K80"/>
  <c r="S47" s="1"/>
  <c r="K79"/>
  <c r="K3" s="1"/>
  <c r="F3"/>
  <c r="AA65" i="6"/>
  <c r="AA67"/>
  <c r="AA69"/>
  <c r="AA71"/>
  <c r="AA47"/>
  <c r="N4" i="8"/>
  <c r="N29"/>
  <c r="AA72" i="6" s="1"/>
  <c r="N28" i="8"/>
  <c r="N27"/>
  <c r="AA70" i="6" s="1"/>
  <c r="N26" i="8"/>
  <c r="N25"/>
  <c r="AA68" i="6" s="1"/>
  <c r="N24" i="8"/>
  <c r="N23"/>
  <c r="AA66" i="6" s="1"/>
  <c r="N22" i="8"/>
  <c r="N21"/>
  <c r="AA64" i="6" s="1"/>
  <c r="N20" i="8"/>
  <c r="AA63" i="6" s="1"/>
  <c r="N19" i="8"/>
  <c r="AA62" i="6" s="1"/>
  <c r="N18" i="8"/>
  <c r="AA61" i="6" s="1"/>
  <c r="N17" i="8"/>
  <c r="AA60" i="6" s="1"/>
  <c r="N16" i="8"/>
  <c r="AA59" i="6" s="1"/>
  <c r="N15" i="8"/>
  <c r="AA58" i="6" s="1"/>
  <c r="N14" i="8"/>
  <c r="AA57" i="6" s="1"/>
  <c r="N13" i="8"/>
  <c r="AA56" i="6" s="1"/>
  <c r="N12" i="8"/>
  <c r="AA55" i="6" s="1"/>
  <c r="N11" i="8"/>
  <c r="AA54" i="6" s="1"/>
  <c r="N10" i="8"/>
  <c r="AA53" i="6" s="1"/>
  <c r="N9" i="8"/>
  <c r="AA52" i="6" s="1"/>
  <c r="N8" i="8"/>
  <c r="AA51" i="6" s="1"/>
  <c r="N7" i="8"/>
  <c r="AA50" i="6" s="1"/>
  <c r="N6" i="8"/>
  <c r="AA49" i="6" s="1"/>
  <c r="N5" i="8"/>
  <c r="N84" i="6"/>
  <c r="N80"/>
  <c r="N78"/>
  <c r="Q48"/>
  <c r="N83" i="4"/>
  <c r="K73" i="1"/>
  <c r="K74"/>
  <c r="K75"/>
  <c r="K76"/>
  <c r="K77"/>
  <c r="K78"/>
  <c r="K79"/>
  <c r="K80"/>
  <c r="K81"/>
  <c r="K82"/>
  <c r="K83"/>
  <c r="K84"/>
  <c r="K85"/>
  <c r="K86"/>
  <c r="K87"/>
  <c r="K88"/>
  <c r="K89"/>
  <c r="K90"/>
  <c r="K91"/>
  <c r="K92"/>
  <c r="K93"/>
  <c r="K94"/>
  <c r="K95"/>
  <c r="K96"/>
  <c r="K97"/>
  <c r="K72"/>
  <c r="N86" i="2"/>
  <c r="N87"/>
  <c r="N88"/>
  <c r="N89"/>
  <c r="N90"/>
  <c r="N91"/>
  <c r="N92"/>
  <c r="N93"/>
  <c r="N94"/>
  <c r="N95"/>
  <c r="N96"/>
  <c r="N97"/>
  <c r="N98"/>
  <c r="N99"/>
  <c r="N100"/>
  <c r="N101"/>
  <c r="N102"/>
  <c r="N103"/>
  <c r="N104"/>
  <c r="N105"/>
  <c r="N106"/>
  <c r="N107"/>
  <c r="N108"/>
  <c r="N109"/>
  <c r="N110"/>
  <c r="N85"/>
  <c r="N92" i="5"/>
  <c r="N93"/>
  <c r="N94"/>
  <c r="N95"/>
  <c r="N96"/>
  <c r="N97"/>
  <c r="N98"/>
  <c r="N99"/>
  <c r="N100"/>
  <c r="N101"/>
  <c r="N102"/>
  <c r="N103"/>
  <c r="N104"/>
  <c r="N105"/>
  <c r="N106"/>
  <c r="N107"/>
  <c r="N108"/>
  <c r="N109"/>
  <c r="N110"/>
  <c r="N111"/>
  <c r="N112"/>
  <c r="N113"/>
  <c r="N114"/>
  <c r="N115"/>
  <c r="N116"/>
  <c r="N91"/>
  <c r="N90" i="6"/>
  <c r="N91"/>
  <c r="N92"/>
  <c r="N93"/>
  <c r="N94"/>
  <c r="N95"/>
  <c r="N96"/>
  <c r="N97"/>
  <c r="N98"/>
  <c r="N99"/>
  <c r="N100"/>
  <c r="N101"/>
  <c r="N102"/>
  <c r="N103"/>
  <c r="N104"/>
  <c r="N105"/>
  <c r="N106"/>
  <c r="N107"/>
  <c r="N108"/>
  <c r="N109"/>
  <c r="N110"/>
  <c r="N111"/>
  <c r="N112"/>
  <c r="N113"/>
  <c r="N114"/>
  <c r="N89"/>
  <c r="N90" i="4"/>
  <c r="N91"/>
  <c r="N92"/>
  <c r="N93"/>
  <c r="N94"/>
  <c r="N95"/>
  <c r="N96"/>
  <c r="N97"/>
  <c r="N98"/>
  <c r="N99"/>
  <c r="N100"/>
  <c r="N101"/>
  <c r="N102"/>
  <c r="N103"/>
  <c r="N104"/>
  <c r="N105"/>
  <c r="N106"/>
  <c r="N107"/>
  <c r="N108"/>
  <c r="N109"/>
  <c r="N110"/>
  <c r="N111"/>
  <c r="N112"/>
  <c r="N113"/>
  <c r="N114"/>
  <c r="N89"/>
  <c r="AD48"/>
  <c r="AD49"/>
  <c r="AD50"/>
  <c r="AD51"/>
  <c r="AD52"/>
  <c r="AD53"/>
  <c r="AD54"/>
  <c r="AD55"/>
  <c r="AD56"/>
  <c r="AD57"/>
  <c r="AD58"/>
  <c r="AD59"/>
  <c r="AD60"/>
  <c r="AD61"/>
  <c r="AD62"/>
  <c r="AD63"/>
  <c r="AD64"/>
  <c r="AD65"/>
  <c r="AD66"/>
  <c r="AD67"/>
  <c r="AD68"/>
  <c r="AD69"/>
  <c r="AD70"/>
  <c r="AD71"/>
  <c r="AD72"/>
  <c r="AD47"/>
  <c r="N85" i="6"/>
  <c r="Q71"/>
  <c r="Q69"/>
  <c r="S69" s="1"/>
  <c r="Q68"/>
  <c r="S68" s="1"/>
  <c r="Q66"/>
  <c r="S66" s="1"/>
  <c r="Q64"/>
  <c r="S64" s="1"/>
  <c r="Q62"/>
  <c r="S62" s="1"/>
  <c r="Q60"/>
  <c r="S60" s="1"/>
  <c r="Q58"/>
  <c r="S58" s="1"/>
  <c r="Q56"/>
  <c r="Q54"/>
  <c r="S54" s="1"/>
  <c r="Q52"/>
  <c r="S52" s="1"/>
  <c r="Q50"/>
  <c r="S50" s="1"/>
  <c r="S56"/>
  <c r="S71"/>
  <c r="F16" i="4"/>
  <c r="F13" i="6"/>
  <c r="H8" i="4"/>
  <c r="F8" s="1"/>
  <c r="N79"/>
  <c r="H8" i="6"/>
  <c r="F8" s="1"/>
  <c r="H8" i="5"/>
  <c r="F8" s="1"/>
  <c r="N81"/>
  <c r="Z72" i="4"/>
  <c r="Z72" i="6"/>
  <c r="O63" i="1"/>
  <c r="Z67" i="4"/>
  <c r="Z64"/>
  <c r="Z65"/>
  <c r="Z66"/>
  <c r="Z68"/>
  <c r="Z69"/>
  <c r="Z70"/>
  <c r="Z71"/>
  <c r="F15"/>
  <c r="AA57" s="1"/>
  <c r="N83" i="5"/>
  <c r="H12"/>
  <c r="F12"/>
  <c r="N80"/>
  <c r="F13"/>
  <c r="F11"/>
  <c r="F7"/>
  <c r="F6"/>
  <c r="N79"/>
  <c r="F4"/>
  <c r="N72"/>
  <c r="N78"/>
  <c r="S67" s="1"/>
  <c r="U67" s="1"/>
  <c r="H8" i="1"/>
  <c r="F8" s="1"/>
  <c r="N80" i="4"/>
  <c r="N80" i="2"/>
  <c r="N82" i="5"/>
  <c r="P72" s="1"/>
  <c r="Z64" i="6"/>
  <c r="Z65"/>
  <c r="Z66"/>
  <c r="Z67"/>
  <c r="Z68"/>
  <c r="Z69"/>
  <c r="Z70"/>
  <c r="Z71"/>
  <c r="F3" i="5"/>
  <c r="F5" i="2"/>
  <c r="R51"/>
  <c r="R63"/>
  <c r="F6"/>
  <c r="F7"/>
  <c r="O54"/>
  <c r="O68"/>
  <c r="F5" i="5"/>
  <c r="T72"/>
  <c r="T51"/>
  <c r="T52"/>
  <c r="T53"/>
  <c r="T54"/>
  <c r="T55"/>
  <c r="T56"/>
  <c r="T57"/>
  <c r="T58"/>
  <c r="T59"/>
  <c r="T60"/>
  <c r="T61"/>
  <c r="T62"/>
  <c r="T63"/>
  <c r="T64"/>
  <c r="T65"/>
  <c r="T66"/>
  <c r="T67"/>
  <c r="T68"/>
  <c r="T69"/>
  <c r="T70"/>
  <c r="T71"/>
  <c r="T48"/>
  <c r="T47"/>
  <c r="O48"/>
  <c r="Q48" s="1"/>
  <c r="O49"/>
  <c r="Q49" s="1"/>
  <c r="O50"/>
  <c r="Q50" s="1"/>
  <c r="O51"/>
  <c r="Q51" s="1"/>
  <c r="O52"/>
  <c r="Q52" s="1"/>
  <c r="O53"/>
  <c r="Q53" s="1"/>
  <c r="O54"/>
  <c r="Q54" s="1"/>
  <c r="O55"/>
  <c r="Q55" s="1"/>
  <c r="O56"/>
  <c r="Q56" s="1"/>
  <c r="O57"/>
  <c r="Q57" s="1"/>
  <c r="O58"/>
  <c r="Q58" s="1"/>
  <c r="O59"/>
  <c r="Q59" s="1"/>
  <c r="O60"/>
  <c r="Q60" s="1"/>
  <c r="O61"/>
  <c r="Q61" s="1"/>
  <c r="O62"/>
  <c r="Q62" s="1"/>
  <c r="O63"/>
  <c r="Q63" s="1"/>
  <c r="O64"/>
  <c r="Q64" s="1"/>
  <c r="O65"/>
  <c r="Q65" s="1"/>
  <c r="O66"/>
  <c r="Q66" s="1"/>
  <c r="O67"/>
  <c r="Q67" s="1"/>
  <c r="O68"/>
  <c r="Q68" s="1"/>
  <c r="O69"/>
  <c r="Q69" s="1"/>
  <c r="O70"/>
  <c r="Q70" s="1"/>
  <c r="O71"/>
  <c r="Q71" s="1"/>
  <c r="O47"/>
  <c r="Q47" s="1"/>
  <c r="N48"/>
  <c r="N50"/>
  <c r="N52"/>
  <c r="N54"/>
  <c r="N56"/>
  <c r="N58"/>
  <c r="N60"/>
  <c r="N62"/>
  <c r="N64"/>
  <c r="N66"/>
  <c r="N68"/>
  <c r="N69"/>
  <c r="N71"/>
  <c r="F3" i="2"/>
  <c r="F4"/>
  <c r="P48" i="5"/>
  <c r="P49"/>
  <c r="P50"/>
  <c r="P51"/>
  <c r="P52"/>
  <c r="P53"/>
  <c r="P54"/>
  <c r="P55"/>
  <c r="P56"/>
  <c r="P57"/>
  <c r="P58"/>
  <c r="P59"/>
  <c r="P60"/>
  <c r="P61"/>
  <c r="P62"/>
  <c r="P63"/>
  <c r="P64"/>
  <c r="P65"/>
  <c r="P66"/>
  <c r="P67"/>
  <c r="P68"/>
  <c r="P69"/>
  <c r="P70"/>
  <c r="P71"/>
  <c r="N84"/>
  <c r="N79" i="2"/>
  <c r="F5" i="6"/>
  <c r="V50"/>
  <c r="T50" s="1"/>
  <c r="F6"/>
  <c r="F7"/>
  <c r="F11"/>
  <c r="F3"/>
  <c r="F4"/>
  <c r="Z63" i="4"/>
  <c r="Z62"/>
  <c r="Z61"/>
  <c r="Z60"/>
  <c r="Z59"/>
  <c r="Z58"/>
  <c r="C13" i="8"/>
  <c r="F10" i="5"/>
  <c r="F9"/>
  <c r="F4" i="4"/>
  <c r="F5"/>
  <c r="T67"/>
  <c r="F6"/>
  <c r="F7"/>
  <c r="F9"/>
  <c r="F10"/>
  <c r="F11"/>
  <c r="F12"/>
  <c r="N78" s="1"/>
  <c r="F13"/>
  <c r="F3"/>
  <c r="N49"/>
  <c r="N48"/>
  <c r="F9" i="6"/>
  <c r="F10"/>
  <c r="F4" i="1"/>
  <c r="F5"/>
  <c r="F6"/>
  <c r="F7"/>
  <c r="F3"/>
  <c r="K39" s="1"/>
  <c r="L39" s="1"/>
  <c r="N76" i="4"/>
  <c r="N81"/>
  <c r="N81" i="6"/>
  <c r="N79"/>
  <c r="N82"/>
  <c r="P60" s="1"/>
  <c r="N64"/>
  <c r="N48"/>
  <c r="V70"/>
  <c r="V67"/>
  <c r="V63"/>
  <c r="V59"/>
  <c r="V55"/>
  <c r="V51"/>
  <c r="N68"/>
  <c r="N60"/>
  <c r="V48"/>
  <c r="V65"/>
  <c r="V61"/>
  <c r="V57"/>
  <c r="V53"/>
  <c r="V49"/>
  <c r="P48"/>
  <c r="K38" i="1"/>
  <c r="K45"/>
  <c r="K53"/>
  <c r="K60"/>
  <c r="N82" i="4"/>
  <c r="P49" s="1"/>
  <c r="O49" i="6"/>
  <c r="R49" s="1"/>
  <c r="O51"/>
  <c r="R51" s="1"/>
  <c r="O53"/>
  <c r="R53" s="1"/>
  <c r="O55"/>
  <c r="R55" s="1"/>
  <c r="O57"/>
  <c r="R57" s="1"/>
  <c r="O59"/>
  <c r="R59" s="1"/>
  <c r="O61"/>
  <c r="R61" s="1"/>
  <c r="O63"/>
  <c r="R63" s="1"/>
  <c r="O65"/>
  <c r="R65" s="1"/>
  <c r="O67"/>
  <c r="R67" s="1"/>
  <c r="O70"/>
  <c r="R70" s="1"/>
  <c r="O48"/>
  <c r="R48" s="1"/>
  <c r="R48" i="2"/>
  <c r="R50"/>
  <c r="R52"/>
  <c r="R54"/>
  <c r="R56"/>
  <c r="R58"/>
  <c r="R60"/>
  <c r="R62"/>
  <c r="R64"/>
  <c r="R66"/>
  <c r="R68"/>
  <c r="R69"/>
  <c r="R71"/>
  <c r="R47"/>
  <c r="O50" i="4"/>
  <c r="Q50" s="1"/>
  <c r="O54"/>
  <c r="O58"/>
  <c r="Q58" s="1"/>
  <c r="T48"/>
  <c r="T50"/>
  <c r="T52"/>
  <c r="T54"/>
  <c r="T56"/>
  <c r="T58"/>
  <c r="T60"/>
  <c r="T62"/>
  <c r="T64"/>
  <c r="T66"/>
  <c r="T68"/>
  <c r="T69"/>
  <c r="T71"/>
  <c r="T49"/>
  <c r="T53"/>
  <c r="T57"/>
  <c r="T61"/>
  <c r="T65"/>
  <c r="T47"/>
  <c r="T51"/>
  <c r="T55"/>
  <c r="T59"/>
  <c r="O40" i="1"/>
  <c r="O42"/>
  <c r="O44"/>
  <c r="O46"/>
  <c r="O48"/>
  <c r="O50"/>
  <c r="O52"/>
  <c r="O54"/>
  <c r="O56"/>
  <c r="O58"/>
  <c r="O61"/>
  <c r="O38"/>
  <c r="O39"/>
  <c r="O41"/>
  <c r="O43"/>
  <c r="O45"/>
  <c r="O47"/>
  <c r="O49"/>
  <c r="O51"/>
  <c r="O53"/>
  <c r="O55"/>
  <c r="O57"/>
  <c r="O59"/>
  <c r="O60"/>
  <c r="O62"/>
  <c r="Z50" i="4"/>
  <c r="Z50" i="6"/>
  <c r="Z52" i="4"/>
  <c r="Z52" i="6"/>
  <c r="Z54" i="4"/>
  <c r="Z54" i="6"/>
  <c r="N49"/>
  <c r="N51"/>
  <c r="N53"/>
  <c r="N55"/>
  <c r="N57"/>
  <c r="N59"/>
  <c r="N61"/>
  <c r="N63"/>
  <c r="N65"/>
  <c r="N67"/>
  <c r="N70"/>
  <c r="N47"/>
  <c r="N48" i="2"/>
  <c r="N51"/>
  <c r="N52"/>
  <c r="P52" s="1"/>
  <c r="N55"/>
  <c r="N56"/>
  <c r="P56" s="1"/>
  <c r="N59"/>
  <c r="N60"/>
  <c r="P60" s="1"/>
  <c r="N63"/>
  <c r="N64"/>
  <c r="P64" s="1"/>
  <c r="N67"/>
  <c r="N68"/>
  <c r="P68" s="1"/>
  <c r="N70"/>
  <c r="N71"/>
  <c r="P71" s="1"/>
  <c r="O49"/>
  <c r="Q49" s="1"/>
  <c r="O51"/>
  <c r="Q51" s="1"/>
  <c r="O53"/>
  <c r="Q53" s="1"/>
  <c r="O55"/>
  <c r="Q55" s="1"/>
  <c r="O57"/>
  <c r="Q57" s="1"/>
  <c r="O59"/>
  <c r="Q59" s="1"/>
  <c r="O61"/>
  <c r="Q61" s="1"/>
  <c r="O63"/>
  <c r="Q63" s="1"/>
  <c r="O65"/>
  <c r="Q65" s="1"/>
  <c r="O67"/>
  <c r="Q67" s="1"/>
  <c r="O70"/>
  <c r="Q70" s="1"/>
  <c r="N47" i="5"/>
  <c r="N49"/>
  <c r="N51"/>
  <c r="N53"/>
  <c r="N55"/>
  <c r="N57"/>
  <c r="N59"/>
  <c r="N61"/>
  <c r="N63"/>
  <c r="N65"/>
  <c r="N67"/>
  <c r="N70"/>
  <c r="K61" i="1"/>
  <c r="L61" s="1"/>
  <c r="K58"/>
  <c r="K54"/>
  <c r="L54" s="1"/>
  <c r="K50"/>
  <c r="K46"/>
  <c r="L46" s="1"/>
  <c r="K42"/>
  <c r="R47" i="6"/>
  <c r="O69"/>
  <c r="R69" s="1"/>
  <c r="O66"/>
  <c r="R66" s="1"/>
  <c r="O62"/>
  <c r="R62" s="1"/>
  <c r="O58"/>
  <c r="R58" s="1"/>
  <c r="O54"/>
  <c r="R54" s="1"/>
  <c r="O50"/>
  <c r="R50" s="1"/>
  <c r="K56" i="1"/>
  <c r="L56" s="1"/>
  <c r="K52"/>
  <c r="L52" s="1"/>
  <c r="K48"/>
  <c r="L48" s="1"/>
  <c r="K44"/>
  <c r="L44" s="1"/>
  <c r="K40"/>
  <c r="L40" s="1"/>
  <c r="R65" i="2"/>
  <c r="R61"/>
  <c r="R57"/>
  <c r="R53"/>
  <c r="R49"/>
  <c r="N69" i="6"/>
  <c r="P69" s="1"/>
  <c r="N66"/>
  <c r="P66" s="1"/>
  <c r="N62"/>
  <c r="P62" s="1"/>
  <c r="N58"/>
  <c r="P58" s="1"/>
  <c r="N54"/>
  <c r="P54" s="1"/>
  <c r="N50"/>
  <c r="P50" s="1"/>
  <c r="O71"/>
  <c r="R71" s="1"/>
  <c r="O68"/>
  <c r="R68" s="1"/>
  <c r="O64"/>
  <c r="R64" s="1"/>
  <c r="O60"/>
  <c r="R60" s="1"/>
  <c r="O56"/>
  <c r="R56" s="1"/>
  <c r="O52"/>
  <c r="R52" s="1"/>
  <c r="Z53"/>
  <c r="Z49"/>
  <c r="T70" i="4"/>
  <c r="O69"/>
  <c r="T63"/>
  <c r="O62"/>
  <c r="L45" i="1"/>
  <c r="L53"/>
  <c r="L60"/>
  <c r="L42"/>
  <c r="L50"/>
  <c r="L58"/>
  <c r="L38"/>
  <c r="O49" i="4"/>
  <c r="O51"/>
  <c r="Q51" s="1"/>
  <c r="O53"/>
  <c r="O55"/>
  <c r="Q55" s="1"/>
  <c r="O57"/>
  <c r="O59"/>
  <c r="Q59" s="1"/>
  <c r="O61"/>
  <c r="O63"/>
  <c r="Q63" s="1"/>
  <c r="O65"/>
  <c r="Q65" s="1"/>
  <c r="O67"/>
  <c r="Q67" s="1"/>
  <c r="O70"/>
  <c r="Q70" s="1"/>
  <c r="V47" i="6"/>
  <c r="V71"/>
  <c r="T71" s="1"/>
  <c r="V69"/>
  <c r="V68"/>
  <c r="T68" s="1"/>
  <c r="V66"/>
  <c r="T66" s="1"/>
  <c r="V64"/>
  <c r="T64" s="1"/>
  <c r="V62"/>
  <c r="V60"/>
  <c r="V58"/>
  <c r="V56"/>
  <c r="T56" s="1"/>
  <c r="V54"/>
  <c r="V52"/>
  <c r="T52" s="1"/>
  <c r="Z47"/>
  <c r="Z62"/>
  <c r="Z60"/>
  <c r="Z58"/>
  <c r="Z56"/>
  <c r="P70"/>
  <c r="P67"/>
  <c r="P65"/>
  <c r="P63"/>
  <c r="P61"/>
  <c r="P59"/>
  <c r="P57"/>
  <c r="P55"/>
  <c r="P53"/>
  <c r="P51"/>
  <c r="N71" i="4"/>
  <c r="N69"/>
  <c r="P69" s="1"/>
  <c r="N68"/>
  <c r="N66"/>
  <c r="P66" s="1"/>
  <c r="N64"/>
  <c r="N62"/>
  <c r="N60"/>
  <c r="N58"/>
  <c r="P58" s="1"/>
  <c r="N56"/>
  <c r="N54"/>
  <c r="N52"/>
  <c r="N50"/>
  <c r="O71"/>
  <c r="Q71" s="1"/>
  <c r="O68"/>
  <c r="Q68" s="1"/>
  <c r="O64"/>
  <c r="Q64" s="1"/>
  <c r="O60"/>
  <c r="Q60" s="1"/>
  <c r="O56"/>
  <c r="Q56" s="1"/>
  <c r="O52"/>
  <c r="Q52" s="1"/>
  <c r="O48"/>
  <c r="Q48" s="1"/>
  <c r="Q61"/>
  <c r="Q57"/>
  <c r="Q53"/>
  <c r="Q49"/>
  <c r="Q62"/>
  <c r="Q54"/>
  <c r="Z47"/>
  <c r="Z48"/>
  <c r="Z55"/>
  <c r="Z56"/>
  <c r="Z51"/>
  <c r="Z49"/>
  <c r="Z53"/>
  <c r="Z57"/>
  <c r="Z48" i="6"/>
  <c r="Z63"/>
  <c r="Z59"/>
  <c r="Z55"/>
  <c r="Z61"/>
  <c r="Z57"/>
  <c r="Z51"/>
  <c r="P49"/>
  <c r="P47"/>
  <c r="O72" i="4"/>
  <c r="Q72" s="1"/>
  <c r="N72"/>
  <c r="T72"/>
  <c r="N77"/>
  <c r="O66"/>
  <c r="Q66" s="1"/>
  <c r="O62" i="2"/>
  <c r="N72"/>
  <c r="O72"/>
  <c r="Q72" s="1"/>
  <c r="R72"/>
  <c r="Q68"/>
  <c r="S68" s="1"/>
  <c r="P72"/>
  <c r="S72" i="5"/>
  <c r="T50"/>
  <c r="T49"/>
  <c r="O72"/>
  <c r="Q72" s="1"/>
  <c r="K63" i="1"/>
  <c r="L63" s="1"/>
  <c r="N52" i="6"/>
  <c r="P52" s="1"/>
  <c r="N72"/>
  <c r="O72"/>
  <c r="R72" s="1"/>
  <c r="P72"/>
  <c r="V72"/>
  <c r="P47" i="5"/>
  <c r="S70"/>
  <c r="U70" s="1"/>
  <c r="S65"/>
  <c r="U65" s="1"/>
  <c r="S61"/>
  <c r="U61" s="1"/>
  <c r="S57"/>
  <c r="U57" s="1"/>
  <c r="S53"/>
  <c r="U53" s="1"/>
  <c r="S49"/>
  <c r="U49" s="1"/>
  <c r="S71"/>
  <c r="S68"/>
  <c r="U68" s="1"/>
  <c r="S64"/>
  <c r="U64" s="1"/>
  <c r="S60"/>
  <c r="U60" s="1"/>
  <c r="S56"/>
  <c r="U56" s="1"/>
  <c r="S52"/>
  <c r="U52" s="1"/>
  <c r="S48"/>
  <c r="N70" i="4"/>
  <c r="P70" s="1"/>
  <c r="N67"/>
  <c r="N63"/>
  <c r="P63" s="1"/>
  <c r="V63" s="1"/>
  <c r="N59"/>
  <c r="N55"/>
  <c r="P55" s="1"/>
  <c r="N51"/>
  <c r="O47"/>
  <c r="N56" i="6"/>
  <c r="P56" s="1"/>
  <c r="N71"/>
  <c r="P71" s="1"/>
  <c r="U71" s="1"/>
  <c r="O48" i="2"/>
  <c r="Q48" s="1"/>
  <c r="R70"/>
  <c r="R55"/>
  <c r="N47" i="4"/>
  <c r="P47" s="1"/>
  <c r="N65"/>
  <c r="N61"/>
  <c r="P61" s="1"/>
  <c r="V61" s="1"/>
  <c r="N57"/>
  <c r="N53"/>
  <c r="P53" s="1"/>
  <c r="V53" s="1"/>
  <c r="U71" i="5"/>
  <c r="Q69" i="4"/>
  <c r="N47" i="2"/>
  <c r="P47" s="1"/>
  <c r="O64"/>
  <c r="Q64" s="1"/>
  <c r="O56"/>
  <c r="Q56" s="1"/>
  <c r="O50"/>
  <c r="Q50" s="1"/>
  <c r="P70"/>
  <c r="N69"/>
  <c r="P69" s="1"/>
  <c r="P67"/>
  <c r="N66"/>
  <c r="P66" s="1"/>
  <c r="N65"/>
  <c r="P65" s="1"/>
  <c r="P63"/>
  <c r="S63" s="1"/>
  <c r="N62"/>
  <c r="P62" s="1"/>
  <c r="N61"/>
  <c r="P61" s="1"/>
  <c r="S61" s="1"/>
  <c r="M17" s="1"/>
  <c r="O99" s="1"/>
  <c r="P59"/>
  <c r="N58"/>
  <c r="P58" s="1"/>
  <c r="N57"/>
  <c r="P57" s="1"/>
  <c r="P55"/>
  <c r="N54"/>
  <c r="P54" s="1"/>
  <c r="N53"/>
  <c r="P53" s="1"/>
  <c r="S53" s="1"/>
  <c r="M9" s="1"/>
  <c r="O91" s="1"/>
  <c r="P51"/>
  <c r="N50"/>
  <c r="P50" s="1"/>
  <c r="S50" s="1"/>
  <c r="M6" s="1"/>
  <c r="O88" s="1"/>
  <c r="Q88" s="1"/>
  <c r="N49"/>
  <c r="P49" s="1"/>
  <c r="P48"/>
  <c r="O47"/>
  <c r="Q47" s="1"/>
  <c r="O71"/>
  <c r="Q71" s="1"/>
  <c r="O69"/>
  <c r="Q69" s="1"/>
  <c r="O66"/>
  <c r="Q66" s="1"/>
  <c r="Q62"/>
  <c r="O60"/>
  <c r="Q60" s="1"/>
  <c r="S60" s="1"/>
  <c r="M16" s="1"/>
  <c r="O98" s="1"/>
  <c r="Q98" s="1"/>
  <c r="O58"/>
  <c r="Q58" s="1"/>
  <c r="Q54"/>
  <c r="O52"/>
  <c r="Q52" s="1"/>
  <c r="S52" s="1"/>
  <c r="R67"/>
  <c r="R59"/>
  <c r="U48" i="5"/>
  <c r="U72"/>
  <c r="Q47" i="4"/>
  <c r="M8" i="2"/>
  <c r="O90" s="1"/>
  <c r="Q90" s="1"/>
  <c r="P68" i="6" l="1"/>
  <c r="U68" s="1"/>
  <c r="P64"/>
  <c r="V58" i="4"/>
  <c r="V49"/>
  <c r="U48" i="6"/>
  <c r="P57" i="4"/>
  <c r="V57" s="1"/>
  <c r="P65"/>
  <c r="U56" i="6"/>
  <c r="P51" i="4"/>
  <c r="V51" s="1"/>
  <c r="P59"/>
  <c r="V59" s="1"/>
  <c r="P67"/>
  <c r="P72"/>
  <c r="P56"/>
  <c r="P60"/>
  <c r="P64"/>
  <c r="P68"/>
  <c r="P71"/>
  <c r="K57" i="1"/>
  <c r="L57" s="1"/>
  <c r="K49"/>
  <c r="L49" s="1"/>
  <c r="K41"/>
  <c r="L41" s="1"/>
  <c r="K62"/>
  <c r="L62" s="1"/>
  <c r="K59"/>
  <c r="L59" s="1"/>
  <c r="K55"/>
  <c r="L55" s="1"/>
  <c r="K51"/>
  <c r="L51" s="1"/>
  <c r="K47"/>
  <c r="L47" s="1"/>
  <c r="K43"/>
  <c r="L43" s="1"/>
  <c r="M63"/>
  <c r="N63" s="1"/>
  <c r="P63" s="1"/>
  <c r="M61"/>
  <c r="N61" s="1"/>
  <c r="P61" s="1"/>
  <c r="M59"/>
  <c r="M57"/>
  <c r="N57" s="1"/>
  <c r="M55"/>
  <c r="M53"/>
  <c r="M51"/>
  <c r="M49"/>
  <c r="M47"/>
  <c r="M45"/>
  <c r="N45" s="1"/>
  <c r="M43"/>
  <c r="M41"/>
  <c r="N41" s="1"/>
  <c r="P41" s="1"/>
  <c r="M39"/>
  <c r="N39" s="1"/>
  <c r="P39" s="1"/>
  <c r="M42"/>
  <c r="N42" s="1"/>
  <c r="M38"/>
  <c r="M62"/>
  <c r="M60"/>
  <c r="M58"/>
  <c r="M56"/>
  <c r="N56" s="1"/>
  <c r="P56" s="1"/>
  <c r="M54"/>
  <c r="M52"/>
  <c r="M50"/>
  <c r="N50" s="1"/>
  <c r="P50" s="1"/>
  <c r="N84" s="1"/>
  <c r="Q84" s="1"/>
  <c r="M48"/>
  <c r="M46"/>
  <c r="M44"/>
  <c r="M40"/>
  <c r="N38"/>
  <c r="N53"/>
  <c r="V72" i="5"/>
  <c r="S57" i="4"/>
  <c r="S71"/>
  <c r="S60"/>
  <c r="S68"/>
  <c r="S66"/>
  <c r="S65"/>
  <c r="S53"/>
  <c r="S69"/>
  <c r="S50"/>
  <c r="S63"/>
  <c r="S51"/>
  <c r="S62"/>
  <c r="S72"/>
  <c r="S47"/>
  <c r="S59"/>
  <c r="S64"/>
  <c r="S52"/>
  <c r="S48"/>
  <c r="S56"/>
  <c r="S70"/>
  <c r="S61"/>
  <c r="S49"/>
  <c r="S58"/>
  <c r="S67"/>
  <c r="S55"/>
  <c r="S54"/>
  <c r="AA71"/>
  <c r="AA67"/>
  <c r="AA63"/>
  <c r="AA59"/>
  <c r="R72"/>
  <c r="R70"/>
  <c r="U70" s="1"/>
  <c r="R68"/>
  <c r="U68" s="1"/>
  <c r="R66"/>
  <c r="U66" s="1"/>
  <c r="R64"/>
  <c r="U64" s="1"/>
  <c r="R62"/>
  <c r="U62" s="1"/>
  <c r="R60"/>
  <c r="U60" s="1"/>
  <c r="R58"/>
  <c r="U58" s="1"/>
  <c r="R56"/>
  <c r="U56" s="1"/>
  <c r="R54"/>
  <c r="R52"/>
  <c r="U52" s="1"/>
  <c r="R50"/>
  <c r="U50" s="1"/>
  <c r="R48"/>
  <c r="U48" s="1"/>
  <c r="R51"/>
  <c r="R47"/>
  <c r="R71"/>
  <c r="U71" s="1"/>
  <c r="R69"/>
  <c r="U69" s="1"/>
  <c r="R67"/>
  <c r="U67" s="1"/>
  <c r="R65"/>
  <c r="U65" s="1"/>
  <c r="R63"/>
  <c r="R61"/>
  <c r="U61" s="1"/>
  <c r="R59"/>
  <c r="U59" s="1"/>
  <c r="R57"/>
  <c r="U57" s="1"/>
  <c r="R55"/>
  <c r="U55" s="1"/>
  <c r="R53"/>
  <c r="U53" s="1"/>
  <c r="R49"/>
  <c r="U49" s="1"/>
  <c r="AA48"/>
  <c r="AA47"/>
  <c r="AA69"/>
  <c r="AA65"/>
  <c r="AA61"/>
  <c r="W104" i="24"/>
  <c r="R103"/>
  <c r="U103" s="1"/>
  <c r="O103"/>
  <c r="W108"/>
  <c r="W84"/>
  <c r="V103"/>
  <c r="K22"/>
  <c r="P103" s="1"/>
  <c r="T103" s="1"/>
  <c r="W89"/>
  <c r="S89"/>
  <c r="W101"/>
  <c r="S101"/>
  <c r="W99"/>
  <c r="S99"/>
  <c r="W90"/>
  <c r="S90"/>
  <c r="W109"/>
  <c r="S109"/>
  <c r="W95"/>
  <c r="S95"/>
  <c r="W86"/>
  <c r="S86"/>
  <c r="W97"/>
  <c r="S97"/>
  <c r="W88"/>
  <c r="S88"/>
  <c r="W93"/>
  <c r="S93"/>
  <c r="W92"/>
  <c r="S92"/>
  <c r="W107"/>
  <c r="S107"/>
  <c r="W105"/>
  <c r="S105"/>
  <c r="S50" i="5"/>
  <c r="U50" s="1"/>
  <c r="S54"/>
  <c r="U54" s="1"/>
  <c r="S58"/>
  <c r="U58" s="1"/>
  <c r="S62"/>
  <c r="U62" s="1"/>
  <c r="S66"/>
  <c r="U66" s="1"/>
  <c r="S69"/>
  <c r="U69" s="1"/>
  <c r="S47"/>
  <c r="U47" s="1"/>
  <c r="S51"/>
  <c r="U51" s="1"/>
  <c r="S55"/>
  <c r="U55" s="1"/>
  <c r="S59"/>
  <c r="U59" s="1"/>
  <c r="S63"/>
  <c r="U63" s="1"/>
  <c r="U50" i="6"/>
  <c r="U62"/>
  <c r="S48"/>
  <c r="T48" s="1"/>
  <c r="W48" s="1"/>
  <c r="Q49"/>
  <c r="S49" s="1"/>
  <c r="T49" s="1"/>
  <c r="P48" i="4"/>
  <c r="P42" i="1"/>
  <c r="P53"/>
  <c r="U54" i="4"/>
  <c r="U51"/>
  <c r="U63"/>
  <c r="N58" i="1"/>
  <c r="P58" s="1"/>
  <c r="AA49" i="4"/>
  <c r="AA72"/>
  <c r="AA70"/>
  <c r="AA68"/>
  <c r="AA66"/>
  <c r="AA64"/>
  <c r="AA62"/>
  <c r="AA60"/>
  <c r="AA58"/>
  <c r="AA56"/>
  <c r="AA54"/>
  <c r="AA52"/>
  <c r="AA50"/>
  <c r="AA48" i="6"/>
  <c r="N48" i="1"/>
  <c r="P48" s="1"/>
  <c r="AA55" i="4"/>
  <c r="AA53"/>
  <c r="AA51"/>
  <c r="V69"/>
  <c r="V71"/>
  <c r="W71" s="1"/>
  <c r="V66"/>
  <c r="K16" i="15"/>
  <c r="K20"/>
  <c r="K27"/>
  <c r="K12"/>
  <c r="K18"/>
  <c r="K25"/>
  <c r="K8"/>
  <c r="K10"/>
  <c r="K6"/>
  <c r="K14"/>
  <c r="K22"/>
  <c r="K4"/>
  <c r="Q91" i="2"/>
  <c r="Q99"/>
  <c r="V55" i="4"/>
  <c r="S48" i="15"/>
  <c r="S50"/>
  <c r="S52"/>
  <c r="S54"/>
  <c r="S56"/>
  <c r="S58"/>
  <c r="S60"/>
  <c r="S62"/>
  <c r="S64"/>
  <c r="S66"/>
  <c r="S71"/>
  <c r="K26"/>
  <c r="S46"/>
  <c r="S69"/>
  <c r="U69" i="6"/>
  <c r="S72" i="2"/>
  <c r="N44" i="1"/>
  <c r="P44" s="1"/>
  <c r="N60"/>
  <c r="T69" i="6"/>
  <c r="P60" i="1"/>
  <c r="S64" i="2"/>
  <c r="M20" s="1"/>
  <c r="O102" s="1"/>
  <c r="Q102" s="1"/>
  <c r="S67"/>
  <c r="M23" s="1"/>
  <c r="O105" s="1"/>
  <c r="Q105" s="1"/>
  <c r="S59"/>
  <c r="M15" s="1"/>
  <c r="O97" s="1"/>
  <c r="Q97" s="1"/>
  <c r="S55"/>
  <c r="M11" s="1"/>
  <c r="O93" s="1"/>
  <c r="Q93" s="1"/>
  <c r="V70" i="5"/>
  <c r="W70" s="1"/>
  <c r="V67"/>
  <c r="W67" s="1"/>
  <c r="M23" s="1"/>
  <c r="O111" s="1"/>
  <c r="Q111" s="1"/>
  <c r="V65"/>
  <c r="W65" s="1"/>
  <c r="M21" s="1"/>
  <c r="O109" s="1"/>
  <c r="Q109" s="1"/>
  <c r="V63"/>
  <c r="V61"/>
  <c r="V59"/>
  <c r="W59" s="1"/>
  <c r="V57"/>
  <c r="V55"/>
  <c r="V53"/>
  <c r="W53" s="1"/>
  <c r="V51"/>
  <c r="W51" s="1"/>
  <c r="V49"/>
  <c r="W49" s="1"/>
  <c r="K6" i="2"/>
  <c r="P88" s="1"/>
  <c r="R88" s="1"/>
  <c r="S58"/>
  <c r="M14" s="1"/>
  <c r="O96" s="1"/>
  <c r="Q96" s="1"/>
  <c r="S54"/>
  <c r="M10" s="1"/>
  <c r="O92" s="1"/>
  <c r="Q92" s="1"/>
  <c r="S62"/>
  <c r="M18" s="1"/>
  <c r="O100" s="1"/>
  <c r="Q100" s="1"/>
  <c r="V68" i="4"/>
  <c r="N46" i="1"/>
  <c r="P46" s="1"/>
  <c r="U64" i="6"/>
  <c r="W64" s="1"/>
  <c r="V71" i="5"/>
  <c r="W71" s="1"/>
  <c r="V69"/>
  <c r="W69" s="1"/>
  <c r="M25" s="1"/>
  <c r="O113" s="1"/>
  <c r="Q113" s="1"/>
  <c r="V68"/>
  <c r="W68" s="1"/>
  <c r="M24" s="1"/>
  <c r="O112" s="1"/>
  <c r="Q112" s="1"/>
  <c r="V66"/>
  <c r="V64"/>
  <c r="W64" s="1"/>
  <c r="M20" s="1"/>
  <c r="O108" s="1"/>
  <c r="Q108" s="1"/>
  <c r="V62"/>
  <c r="W62" s="1"/>
  <c r="V60"/>
  <c r="W60" s="1"/>
  <c r="V58"/>
  <c r="V56"/>
  <c r="W56" s="1"/>
  <c r="M12" s="1"/>
  <c r="O100" s="1"/>
  <c r="Q100" s="1"/>
  <c r="V54"/>
  <c r="W54" s="1"/>
  <c r="V52"/>
  <c r="W52" s="1"/>
  <c r="M8" s="1"/>
  <c r="O96" s="1"/>
  <c r="Q96" s="1"/>
  <c r="V50"/>
  <c r="V48"/>
  <c r="W48" s="1"/>
  <c r="M19" i="2"/>
  <c r="O101" s="1"/>
  <c r="Q101" s="1"/>
  <c r="V48" i="4"/>
  <c r="W48" s="1"/>
  <c r="P38" i="1"/>
  <c r="S71" i="2"/>
  <c r="M27" s="1"/>
  <c r="O109" s="1"/>
  <c r="Q109" s="1"/>
  <c r="S65"/>
  <c r="M21" s="1"/>
  <c r="O103" s="1"/>
  <c r="Q103" s="1"/>
  <c r="S69"/>
  <c r="V65" i="4"/>
  <c r="W65" s="1"/>
  <c r="W57" i="5"/>
  <c r="M13" s="1"/>
  <c r="O101" s="1"/>
  <c r="Q101" s="1"/>
  <c r="V67" i="4"/>
  <c r="W67" s="1"/>
  <c r="U49" i="6"/>
  <c r="U53"/>
  <c r="U57"/>
  <c r="U61"/>
  <c r="U65"/>
  <c r="U58"/>
  <c r="U66"/>
  <c r="T58"/>
  <c r="T62"/>
  <c r="S49" i="2"/>
  <c r="S51"/>
  <c r="S57"/>
  <c r="S66"/>
  <c r="M22" s="1"/>
  <c r="O104" s="1"/>
  <c r="Q104" s="1"/>
  <c r="S70"/>
  <c r="S56"/>
  <c r="M12" s="1"/>
  <c r="K12" s="1"/>
  <c r="P94" s="1"/>
  <c r="R94" s="1"/>
  <c r="K20"/>
  <c r="P102" s="1"/>
  <c r="R102" s="1"/>
  <c r="S48"/>
  <c r="M4" s="1"/>
  <c r="O86" s="1"/>
  <c r="Q86" s="1"/>
  <c r="W61" i="5"/>
  <c r="M17" s="1"/>
  <c r="O105" s="1"/>
  <c r="Q105" s="1"/>
  <c r="V70" i="4"/>
  <c r="V47" i="5"/>
  <c r="W47" s="1"/>
  <c r="W72"/>
  <c r="M28" s="1"/>
  <c r="O116" s="1"/>
  <c r="Q116" s="1"/>
  <c r="V60" i="4"/>
  <c r="W60" s="1"/>
  <c r="V64"/>
  <c r="W64" s="1"/>
  <c r="U51" i="6"/>
  <c r="U55"/>
  <c r="U59"/>
  <c r="U63"/>
  <c r="U67"/>
  <c r="U70"/>
  <c r="U54"/>
  <c r="N40" i="1"/>
  <c r="N52"/>
  <c r="N54"/>
  <c r="P52" i="4"/>
  <c r="T60" i="6"/>
  <c r="W56"/>
  <c r="U72"/>
  <c r="T54"/>
  <c r="Q47"/>
  <c r="Q70"/>
  <c r="S70" s="1"/>
  <c r="Q67"/>
  <c r="S67" s="1"/>
  <c r="Q63"/>
  <c r="S63" s="1"/>
  <c r="Q59"/>
  <c r="S59" s="1"/>
  <c r="Q55"/>
  <c r="S55" s="1"/>
  <c r="Q51"/>
  <c r="S51" s="1"/>
  <c r="W71"/>
  <c r="Q72"/>
  <c r="Q65"/>
  <c r="Q61"/>
  <c r="Q57"/>
  <c r="Q53"/>
  <c r="S53" s="1"/>
  <c r="W59" i="4"/>
  <c r="W49"/>
  <c r="W55"/>
  <c r="W66"/>
  <c r="W69"/>
  <c r="W51"/>
  <c r="W63"/>
  <c r="W70"/>
  <c r="P50"/>
  <c r="V50" s="1"/>
  <c r="W50" s="1"/>
  <c r="P54"/>
  <c r="V54" s="1"/>
  <c r="W54" s="1"/>
  <c r="P62"/>
  <c r="V62" s="1"/>
  <c r="W62" s="1"/>
  <c r="W68"/>
  <c r="W53"/>
  <c r="W61"/>
  <c r="W58"/>
  <c r="W57"/>
  <c r="V47"/>
  <c r="U52" i="6"/>
  <c r="W52" s="1"/>
  <c r="M28" i="15"/>
  <c r="L104" s="1"/>
  <c r="N104" s="1"/>
  <c r="M104"/>
  <c r="O104" s="1"/>
  <c r="U47" i="6"/>
  <c r="M24" i="2"/>
  <c r="O106" s="1"/>
  <c r="Q106" s="1"/>
  <c r="M28"/>
  <c r="O110" s="1"/>
  <c r="Q110" s="1"/>
  <c r="K17"/>
  <c r="P99" s="1"/>
  <c r="R99" s="1"/>
  <c r="K9"/>
  <c r="P91" s="1"/>
  <c r="R91" s="1"/>
  <c r="K27"/>
  <c r="P109" s="1"/>
  <c r="R109" s="1"/>
  <c r="K16"/>
  <c r="P98" s="1"/>
  <c r="R98" s="1"/>
  <c r="K8"/>
  <c r="P90" s="1"/>
  <c r="R90" s="1"/>
  <c r="S47"/>
  <c r="V72" i="4"/>
  <c r="W68" i="6"/>
  <c r="U60"/>
  <c r="W50"/>
  <c r="V52" i="4"/>
  <c r="W52" s="1"/>
  <c r="V56"/>
  <c r="W56" s="1"/>
  <c r="W62" i="6"/>
  <c r="W66"/>
  <c r="W69"/>
  <c r="W58" l="1"/>
  <c r="O94" i="2"/>
  <c r="Q94" s="1"/>
  <c r="M18" i="1"/>
  <c r="L87" s="1"/>
  <c r="O87" s="1"/>
  <c r="K21" i="2"/>
  <c r="P103" s="1"/>
  <c r="R103" s="1"/>
  <c r="AC64" i="4"/>
  <c r="AB64"/>
  <c r="AC56"/>
  <c r="AB56"/>
  <c r="AC60"/>
  <c r="AB60"/>
  <c r="AC48"/>
  <c r="AB48"/>
  <c r="AC61"/>
  <c r="AB61"/>
  <c r="AC68"/>
  <c r="AB68"/>
  <c r="AB62"/>
  <c r="AC62"/>
  <c r="AB50"/>
  <c r="AC50"/>
  <c r="AB63"/>
  <c r="AC63"/>
  <c r="AC69"/>
  <c r="AB69"/>
  <c r="AB55"/>
  <c r="AC55"/>
  <c r="AB59"/>
  <c r="AC59"/>
  <c r="AC65"/>
  <c r="AB65"/>
  <c r="M3" i="1"/>
  <c r="L72" s="1"/>
  <c r="O72" s="1"/>
  <c r="N72"/>
  <c r="Q72" s="1"/>
  <c r="N49"/>
  <c r="AC52" i="4"/>
  <c r="AB52"/>
  <c r="AC57"/>
  <c r="AB57"/>
  <c r="AB58"/>
  <c r="AC58"/>
  <c r="AB67"/>
  <c r="AC67"/>
  <c r="AC53"/>
  <c r="AB53"/>
  <c r="AB71"/>
  <c r="AC71"/>
  <c r="AB54"/>
  <c r="AC54"/>
  <c r="AB70"/>
  <c r="AC70"/>
  <c r="AB51"/>
  <c r="AC51"/>
  <c r="AB66"/>
  <c r="AC66"/>
  <c r="AC49"/>
  <c r="AB49"/>
  <c r="M25" i="1"/>
  <c r="L94" s="1"/>
  <c r="O94" s="1"/>
  <c r="N94"/>
  <c r="Q94" s="1"/>
  <c r="M13"/>
  <c r="L82" s="1"/>
  <c r="O82" s="1"/>
  <c r="N82"/>
  <c r="Q82" s="1"/>
  <c r="K18"/>
  <c r="M87" s="1"/>
  <c r="P87" s="1"/>
  <c r="N87"/>
  <c r="Q87" s="1"/>
  <c r="K21"/>
  <c r="M90" s="1"/>
  <c r="P90" s="1"/>
  <c r="N90"/>
  <c r="Q90" s="1"/>
  <c r="M26"/>
  <c r="L95" s="1"/>
  <c r="O95" s="1"/>
  <c r="N95"/>
  <c r="Q95" s="1"/>
  <c r="M7"/>
  <c r="L76" s="1"/>
  <c r="O76" s="1"/>
  <c r="N76"/>
  <c r="Q76" s="1"/>
  <c r="M11"/>
  <c r="L80" s="1"/>
  <c r="O80" s="1"/>
  <c r="N80"/>
  <c r="Q80" s="1"/>
  <c r="M9"/>
  <c r="L78" s="1"/>
  <c r="O78" s="1"/>
  <c r="N78"/>
  <c r="Q78" s="1"/>
  <c r="M23"/>
  <c r="L92" s="1"/>
  <c r="O92" s="1"/>
  <c r="N92"/>
  <c r="Q92" s="1"/>
  <c r="M6"/>
  <c r="L75" s="1"/>
  <c r="O75" s="1"/>
  <c r="N75"/>
  <c r="Q75" s="1"/>
  <c r="M4"/>
  <c r="L73" s="1"/>
  <c r="O73" s="1"/>
  <c r="N73"/>
  <c r="Q73" s="1"/>
  <c r="M28"/>
  <c r="L97" s="1"/>
  <c r="O97" s="1"/>
  <c r="N97"/>
  <c r="Q97" s="1"/>
  <c r="K26"/>
  <c r="M95" s="1"/>
  <c r="P95" s="1"/>
  <c r="M21"/>
  <c r="L90" s="1"/>
  <c r="O90" s="1"/>
  <c r="N43"/>
  <c r="P43" s="1"/>
  <c r="N51"/>
  <c r="P51" s="1"/>
  <c r="N59"/>
  <c r="P59" s="1"/>
  <c r="M15"/>
  <c r="L84" s="1"/>
  <c r="O84" s="1"/>
  <c r="K15"/>
  <c r="M84" s="1"/>
  <c r="P84" s="1"/>
  <c r="P45"/>
  <c r="P57"/>
  <c r="N47"/>
  <c r="N55"/>
  <c r="N62"/>
  <c r="W63" i="5"/>
  <c r="M19" s="1"/>
  <c r="O107" s="1"/>
  <c r="Q107" s="1"/>
  <c r="U72" i="4"/>
  <c r="X53"/>
  <c r="W72"/>
  <c r="U47"/>
  <c r="W47" s="1"/>
  <c r="W103" i="24"/>
  <c r="S103"/>
  <c r="W50" i="5"/>
  <c r="M6" s="1"/>
  <c r="O94" s="1"/>
  <c r="Q94" s="1"/>
  <c r="W58"/>
  <c r="M14" s="1"/>
  <c r="O102" s="1"/>
  <c r="Q102" s="1"/>
  <c r="W66"/>
  <c r="M22" s="1"/>
  <c r="O110" s="1"/>
  <c r="Q110" s="1"/>
  <c r="W55"/>
  <c r="M11" s="1"/>
  <c r="O99" s="1"/>
  <c r="Q99" s="1"/>
  <c r="K23"/>
  <c r="P111" s="1"/>
  <c r="R111" s="1"/>
  <c r="K7" i="1"/>
  <c r="M76" s="1"/>
  <c r="P76" s="1"/>
  <c r="K6"/>
  <c r="M75" s="1"/>
  <c r="P75" s="1"/>
  <c r="K4"/>
  <c r="M73" s="1"/>
  <c r="P73" s="1"/>
  <c r="K23"/>
  <c r="M92" s="1"/>
  <c r="P92" s="1"/>
  <c r="K13"/>
  <c r="M82" s="1"/>
  <c r="P82" s="1"/>
  <c r="W60" i="6"/>
  <c r="Y60" s="1"/>
  <c r="W54"/>
  <c r="Y54" s="1"/>
  <c r="W49"/>
  <c r="X49" s="1"/>
  <c r="K9" i="1"/>
  <c r="K28"/>
  <c r="K24"/>
  <c r="M7" i="5"/>
  <c r="O95" s="1"/>
  <c r="Q95" s="1"/>
  <c r="M4"/>
  <c r="O92" s="1"/>
  <c r="Q92" s="1"/>
  <c r="M16"/>
  <c r="O104" s="1"/>
  <c r="Q104" s="1"/>
  <c r="T59" i="6"/>
  <c r="W59" s="1"/>
  <c r="X59" s="1"/>
  <c r="K23" i="2"/>
  <c r="P105" s="1"/>
  <c r="R105" s="1"/>
  <c r="K8" i="1"/>
  <c r="K3"/>
  <c r="K10" i="2"/>
  <c r="P92" s="1"/>
  <c r="R92" s="1"/>
  <c r="M27" i="5"/>
  <c r="O115" s="1"/>
  <c r="Q115" s="1"/>
  <c r="K25" i="1"/>
  <c r="M5" i="5"/>
  <c r="O93" s="1"/>
  <c r="Q93" s="1"/>
  <c r="M18"/>
  <c r="O106" s="1"/>
  <c r="Q106" s="1"/>
  <c r="K21"/>
  <c r="P109" s="1"/>
  <c r="R109" s="1"/>
  <c r="K13"/>
  <c r="P101" s="1"/>
  <c r="R101" s="1"/>
  <c r="K12"/>
  <c r="P100" s="1"/>
  <c r="R100" s="1"/>
  <c r="K8"/>
  <c r="P96" s="1"/>
  <c r="R96" s="1"/>
  <c r="K19" i="2"/>
  <c r="P101" s="1"/>
  <c r="R101" s="1"/>
  <c r="K14"/>
  <c r="P96" s="1"/>
  <c r="R96" s="1"/>
  <c r="X58" i="6"/>
  <c r="Y58"/>
  <c r="P40" i="1"/>
  <c r="M26" i="5"/>
  <c r="O114" s="1"/>
  <c r="Q114" s="1"/>
  <c r="M15"/>
  <c r="O103" s="1"/>
  <c r="Q103" s="1"/>
  <c r="M9"/>
  <c r="O97" s="1"/>
  <c r="Q97" s="1"/>
  <c r="M10"/>
  <c r="O98" s="1"/>
  <c r="Q98" s="1"/>
  <c r="M26" i="2"/>
  <c r="O108" s="1"/>
  <c r="Q108" s="1"/>
  <c r="M7"/>
  <c r="O89" s="1"/>
  <c r="Q89" s="1"/>
  <c r="M25"/>
  <c r="O107" s="1"/>
  <c r="Q107" s="1"/>
  <c r="K17" i="5"/>
  <c r="P105" s="1"/>
  <c r="R105" s="1"/>
  <c r="K24"/>
  <c r="P112" s="1"/>
  <c r="R112" s="1"/>
  <c r="K22"/>
  <c r="P110" s="1"/>
  <c r="R110" s="1"/>
  <c r="K25"/>
  <c r="P113" s="1"/>
  <c r="R113" s="1"/>
  <c r="K4" i="2"/>
  <c r="P86" s="1"/>
  <c r="R86" s="1"/>
  <c r="T67" i="6"/>
  <c r="W67" s="1"/>
  <c r="Y67" s="1"/>
  <c r="T51"/>
  <c r="W51" s="1"/>
  <c r="X51" s="1"/>
  <c r="K11" i="2"/>
  <c r="P93" s="1"/>
  <c r="R93" s="1"/>
  <c r="K15"/>
  <c r="P97" s="1"/>
  <c r="R97" s="1"/>
  <c r="K18"/>
  <c r="P100" s="1"/>
  <c r="R100" s="1"/>
  <c r="K6" i="5"/>
  <c r="P94" s="1"/>
  <c r="R94" s="1"/>
  <c r="K11" i="1"/>
  <c r="P54"/>
  <c r="P52"/>
  <c r="M13" i="2"/>
  <c r="O95" s="1"/>
  <c r="Q95" s="1"/>
  <c r="M5"/>
  <c r="O87" s="1"/>
  <c r="Q87" s="1"/>
  <c r="Y49" i="6"/>
  <c r="S57"/>
  <c r="T57" s="1"/>
  <c r="W57" s="1"/>
  <c r="S65"/>
  <c r="T65" s="1"/>
  <c r="W65" s="1"/>
  <c r="S72"/>
  <c r="T72" s="1"/>
  <c r="W72" s="1"/>
  <c r="S47"/>
  <c r="T47" s="1"/>
  <c r="W47" s="1"/>
  <c r="Y48"/>
  <c r="X48"/>
  <c r="X56"/>
  <c r="Y56"/>
  <c r="T53"/>
  <c r="W53" s="1"/>
  <c r="X53" s="1"/>
  <c r="T63"/>
  <c r="W63" s="1"/>
  <c r="Y63" s="1"/>
  <c r="S61"/>
  <c r="T61" s="1"/>
  <c r="W61" s="1"/>
  <c r="Y71"/>
  <c r="X71"/>
  <c r="T70"/>
  <c r="W70" s="1"/>
  <c r="T55"/>
  <c r="W55" s="1"/>
  <c r="Y72" i="4"/>
  <c r="X72"/>
  <c r="X57"/>
  <c r="Y57"/>
  <c r="Y58"/>
  <c r="X58"/>
  <c r="Y67"/>
  <c r="X67"/>
  <c r="Y61"/>
  <c r="X61"/>
  <c r="Y53"/>
  <c r="X71"/>
  <c r="Y71"/>
  <c r="Y54"/>
  <c r="X54"/>
  <c r="Y63"/>
  <c r="X63"/>
  <c r="X69"/>
  <c r="Y69"/>
  <c r="X55"/>
  <c r="Y55"/>
  <c r="X59"/>
  <c r="Y59"/>
  <c r="Y56"/>
  <c r="X56"/>
  <c r="X64"/>
  <c r="Y64"/>
  <c r="Y48"/>
  <c r="X48"/>
  <c r="X62"/>
  <c r="Y62"/>
  <c r="X68"/>
  <c r="Y68"/>
  <c r="Y50"/>
  <c r="X50"/>
  <c r="Y70"/>
  <c r="X70"/>
  <c r="X51"/>
  <c r="Y51"/>
  <c r="X66"/>
  <c r="Y66"/>
  <c r="X49"/>
  <c r="Y49"/>
  <c r="Y65"/>
  <c r="X65"/>
  <c r="Y60"/>
  <c r="X60"/>
  <c r="X52" i="6"/>
  <c r="Y52"/>
  <c r="Y52" i="4"/>
  <c r="X52"/>
  <c r="M102" i="15"/>
  <c r="O102" s="1"/>
  <c r="M26"/>
  <c r="L102" s="1"/>
  <c r="N102" s="1"/>
  <c r="M99"/>
  <c r="O99" s="1"/>
  <c r="M23"/>
  <c r="L99" s="1"/>
  <c r="N99" s="1"/>
  <c r="M95"/>
  <c r="O95" s="1"/>
  <c r="M19"/>
  <c r="L95" s="1"/>
  <c r="N95" s="1"/>
  <c r="M91"/>
  <c r="O91" s="1"/>
  <c r="M15"/>
  <c r="L91" s="1"/>
  <c r="N91" s="1"/>
  <c r="M87"/>
  <c r="O87" s="1"/>
  <c r="M11"/>
  <c r="L87" s="1"/>
  <c r="N87" s="1"/>
  <c r="M83"/>
  <c r="O83" s="1"/>
  <c r="M7"/>
  <c r="L83" s="1"/>
  <c r="N83" s="1"/>
  <c r="M79"/>
  <c r="O79" s="1"/>
  <c r="M3"/>
  <c r="L79" s="1"/>
  <c r="N79" s="1"/>
  <c r="M103"/>
  <c r="O103" s="1"/>
  <c r="M27"/>
  <c r="L103" s="1"/>
  <c r="N103" s="1"/>
  <c r="M100"/>
  <c r="O100" s="1"/>
  <c r="M24"/>
  <c r="L100" s="1"/>
  <c r="N100" s="1"/>
  <c r="M96"/>
  <c r="O96" s="1"/>
  <c r="M20"/>
  <c r="L96" s="1"/>
  <c r="N96" s="1"/>
  <c r="M92"/>
  <c r="O92" s="1"/>
  <c r="M16"/>
  <c r="L92" s="1"/>
  <c r="N92" s="1"/>
  <c r="M88"/>
  <c r="O88" s="1"/>
  <c r="M12"/>
  <c r="L88" s="1"/>
  <c r="N88" s="1"/>
  <c r="M84"/>
  <c r="O84" s="1"/>
  <c r="M8"/>
  <c r="L84" s="1"/>
  <c r="N84" s="1"/>
  <c r="M80"/>
  <c r="O80" s="1"/>
  <c r="M4"/>
  <c r="L80" s="1"/>
  <c r="N80" s="1"/>
  <c r="M97"/>
  <c r="O97" s="1"/>
  <c r="M21"/>
  <c r="L97" s="1"/>
  <c r="N97" s="1"/>
  <c r="M93"/>
  <c r="O93" s="1"/>
  <c r="M17"/>
  <c r="L93" s="1"/>
  <c r="N93" s="1"/>
  <c r="M89"/>
  <c r="O89" s="1"/>
  <c r="M13"/>
  <c r="L89" s="1"/>
  <c r="N89" s="1"/>
  <c r="M85"/>
  <c r="O85" s="1"/>
  <c r="M9"/>
  <c r="L85" s="1"/>
  <c r="N85" s="1"/>
  <c r="M81"/>
  <c r="O81" s="1"/>
  <c r="M5"/>
  <c r="L81" s="1"/>
  <c r="N81" s="1"/>
  <c r="M101"/>
  <c r="O101" s="1"/>
  <c r="M25"/>
  <c r="L101" s="1"/>
  <c r="N101" s="1"/>
  <c r="M98"/>
  <c r="O98" s="1"/>
  <c r="M22"/>
  <c r="L98" s="1"/>
  <c r="N98" s="1"/>
  <c r="M94"/>
  <c r="O94" s="1"/>
  <c r="M18"/>
  <c r="L94" s="1"/>
  <c r="N94" s="1"/>
  <c r="M90"/>
  <c r="O90" s="1"/>
  <c r="M14"/>
  <c r="L90" s="1"/>
  <c r="N90" s="1"/>
  <c r="M86"/>
  <c r="O86" s="1"/>
  <c r="M10"/>
  <c r="L86" s="1"/>
  <c r="N86" s="1"/>
  <c r="M82"/>
  <c r="O82" s="1"/>
  <c r="M6"/>
  <c r="L82" s="1"/>
  <c r="N82" s="1"/>
  <c r="P104"/>
  <c r="Y69" i="6"/>
  <c r="X69"/>
  <c r="X50"/>
  <c r="Y50"/>
  <c r="Y64"/>
  <c r="X64"/>
  <c r="M3" i="5"/>
  <c r="O91" s="1"/>
  <c r="Q91" s="1"/>
  <c r="X67" i="6"/>
  <c r="X66"/>
  <c r="Y66"/>
  <c r="Y62"/>
  <c r="X62"/>
  <c r="Y68"/>
  <c r="X68"/>
  <c r="M3" i="2"/>
  <c r="O85" s="1"/>
  <c r="Q85" s="1"/>
  <c r="K28"/>
  <c r="P110" s="1"/>
  <c r="R110" s="1"/>
  <c r="K24"/>
  <c r="P106" s="1"/>
  <c r="R106" s="1"/>
  <c r="K28" i="5"/>
  <c r="P116" s="1"/>
  <c r="R116" s="1"/>
  <c r="K20"/>
  <c r="P108" s="1"/>
  <c r="R108" s="1"/>
  <c r="K22" i="2"/>
  <c r="P104" s="1"/>
  <c r="R104" s="1"/>
  <c r="X54" i="6" l="1"/>
  <c r="Y51"/>
  <c r="M7" s="1"/>
  <c r="M9" i="4"/>
  <c r="Q95" s="1"/>
  <c r="M22"/>
  <c r="Q108" s="1"/>
  <c r="M14"/>
  <c r="Q100" s="1"/>
  <c r="V100" s="1"/>
  <c r="M7"/>
  <c r="Q93" s="1"/>
  <c r="AC72"/>
  <c r="AB72"/>
  <c r="P49" i="1"/>
  <c r="M14" s="1"/>
  <c r="L83" s="1"/>
  <c r="O83" s="1"/>
  <c r="K14" i="5"/>
  <c r="P102" s="1"/>
  <c r="R102" s="1"/>
  <c r="AB47" i="4"/>
  <c r="AC47"/>
  <c r="M19" i="1"/>
  <c r="L88" s="1"/>
  <c r="O88" s="1"/>
  <c r="N88"/>
  <c r="Q88" s="1"/>
  <c r="K22"/>
  <c r="M91" s="1"/>
  <c r="P91" s="1"/>
  <c r="N91"/>
  <c r="Q91" s="1"/>
  <c r="M24"/>
  <c r="L93" s="1"/>
  <c r="O93" s="1"/>
  <c r="N93"/>
  <c r="Q93" s="1"/>
  <c r="M8"/>
  <c r="L77" s="1"/>
  <c r="O77" s="1"/>
  <c r="N77"/>
  <c r="Q77" s="1"/>
  <c r="K17"/>
  <c r="N86"/>
  <c r="Q86" s="1"/>
  <c r="M5"/>
  <c r="L74" s="1"/>
  <c r="O74" s="1"/>
  <c r="N74"/>
  <c r="Q74" s="1"/>
  <c r="M10"/>
  <c r="L79" s="1"/>
  <c r="O79" s="1"/>
  <c r="N79"/>
  <c r="Q79" s="1"/>
  <c r="K16"/>
  <c r="M85" s="1"/>
  <c r="P85" s="1"/>
  <c r="N85"/>
  <c r="Q85" s="1"/>
  <c r="M16"/>
  <c r="L85" s="1"/>
  <c r="O85" s="1"/>
  <c r="P55"/>
  <c r="M22"/>
  <c r="L91" s="1"/>
  <c r="O91" s="1"/>
  <c r="K10"/>
  <c r="M79" s="1"/>
  <c r="P79" s="1"/>
  <c r="P62"/>
  <c r="P47"/>
  <c r="X47" i="4"/>
  <c r="Y47"/>
  <c r="M3" s="1"/>
  <c r="Q89" s="1"/>
  <c r="M15"/>
  <c r="Q101" s="1"/>
  <c r="V108"/>
  <c r="O95"/>
  <c r="S95" s="1"/>
  <c r="X60" i="6"/>
  <c r="M16" s="1"/>
  <c r="X63"/>
  <c r="M17" i="4"/>
  <c r="Q103" s="1"/>
  <c r="M23"/>
  <c r="Q109" s="1"/>
  <c r="M28"/>
  <c r="Q114" s="1"/>
  <c r="Y59" i="6"/>
  <c r="M15" s="1"/>
  <c r="Q101" s="1"/>
  <c r="V101" s="1"/>
  <c r="K11" i="5"/>
  <c r="P99" s="1"/>
  <c r="R99" s="1"/>
  <c r="R95" i="4"/>
  <c r="U95" s="1"/>
  <c r="K7" i="5"/>
  <c r="P95" s="1"/>
  <c r="R95" s="1"/>
  <c r="M86" i="1"/>
  <c r="P86" s="1"/>
  <c r="M80"/>
  <c r="P80" s="1"/>
  <c r="M94"/>
  <c r="P94" s="1"/>
  <c r="M77"/>
  <c r="P77" s="1"/>
  <c r="M97"/>
  <c r="P97" s="1"/>
  <c r="M72"/>
  <c r="P72" s="1"/>
  <c r="M93"/>
  <c r="P93" s="1"/>
  <c r="M78"/>
  <c r="P78" s="1"/>
  <c r="K5"/>
  <c r="K16" i="5"/>
  <c r="P104" s="1"/>
  <c r="R104" s="1"/>
  <c r="K4"/>
  <c r="P92" s="1"/>
  <c r="R92" s="1"/>
  <c r="K14" i="4"/>
  <c r="P100" s="1"/>
  <c r="T100" s="1"/>
  <c r="M17" i="1"/>
  <c r="L86" s="1"/>
  <c r="O86" s="1"/>
  <c r="M14" i="6"/>
  <c r="R100" s="1"/>
  <c r="U100" s="1"/>
  <c r="K27" i="5"/>
  <c r="P115" s="1"/>
  <c r="R115" s="1"/>
  <c r="K25" i="2"/>
  <c r="P107" s="1"/>
  <c r="R107" s="1"/>
  <c r="V93" i="4"/>
  <c r="M12"/>
  <c r="Q98" s="1"/>
  <c r="M19"/>
  <c r="Q105" s="1"/>
  <c r="V105" s="1"/>
  <c r="K5" i="2"/>
  <c r="P87" s="1"/>
  <c r="R87" s="1"/>
  <c r="K13"/>
  <c r="P95" s="1"/>
  <c r="R95" s="1"/>
  <c r="K19" i="1"/>
  <c r="K9" i="5"/>
  <c r="P97" s="1"/>
  <c r="R97" s="1"/>
  <c r="K18"/>
  <c r="P106" s="1"/>
  <c r="R106" s="1"/>
  <c r="K5"/>
  <c r="P93" s="1"/>
  <c r="R93" s="1"/>
  <c r="K7" i="2"/>
  <c r="P89" s="1"/>
  <c r="R89" s="1"/>
  <c r="K26"/>
  <c r="P108" s="1"/>
  <c r="R108" s="1"/>
  <c r="K10" i="5"/>
  <c r="P98" s="1"/>
  <c r="R98" s="1"/>
  <c r="K15"/>
  <c r="P103" s="1"/>
  <c r="R103" s="1"/>
  <c r="K19"/>
  <c r="P107" s="1"/>
  <c r="R107" s="1"/>
  <c r="K26"/>
  <c r="P114" s="1"/>
  <c r="R114" s="1"/>
  <c r="M4" i="6"/>
  <c r="Q90" s="1"/>
  <c r="V90" s="1"/>
  <c r="Y53"/>
  <c r="M9" s="1"/>
  <c r="M8"/>
  <c r="Q94" s="1"/>
  <c r="V94" s="1"/>
  <c r="Y65"/>
  <c r="X65"/>
  <c r="Y47"/>
  <c r="X47"/>
  <c r="Y57"/>
  <c r="X57"/>
  <c r="Y55"/>
  <c r="X55"/>
  <c r="M10"/>
  <c r="M27"/>
  <c r="M12"/>
  <c r="M5"/>
  <c r="X72"/>
  <c r="Y72"/>
  <c r="Y70"/>
  <c r="X70"/>
  <c r="Y61"/>
  <c r="X61"/>
  <c r="O100"/>
  <c r="M11" i="4"/>
  <c r="Q97" s="1"/>
  <c r="M25"/>
  <c r="Q111" s="1"/>
  <c r="M10"/>
  <c r="Q96" s="1"/>
  <c r="M27"/>
  <c r="Q113" s="1"/>
  <c r="M13"/>
  <c r="Q99" s="1"/>
  <c r="K7"/>
  <c r="P93" s="1"/>
  <c r="T93" s="1"/>
  <c r="R100"/>
  <c r="U100" s="1"/>
  <c r="M18"/>
  <c r="Q104" s="1"/>
  <c r="V104" s="1"/>
  <c r="M20"/>
  <c r="Q106" s="1"/>
  <c r="O93"/>
  <c r="S93" s="1"/>
  <c r="M21"/>
  <c r="Q107" s="1"/>
  <c r="M5"/>
  <c r="Q91" s="1"/>
  <c r="M6"/>
  <c r="Q92" s="1"/>
  <c r="M24"/>
  <c r="Q110" s="1"/>
  <c r="M4"/>
  <c r="Q90" s="1"/>
  <c r="K22"/>
  <c r="P108" s="1"/>
  <c r="T108" s="1"/>
  <c r="M16"/>
  <c r="Q102" s="1"/>
  <c r="K9"/>
  <c r="P95" s="1"/>
  <c r="T95" s="1"/>
  <c r="V95"/>
  <c r="M8"/>
  <c r="Q94" s="1"/>
  <c r="O108"/>
  <c r="M26"/>
  <c r="O101"/>
  <c r="S101" s="1"/>
  <c r="K15"/>
  <c r="P101" s="1"/>
  <c r="T101" s="1"/>
  <c r="R101"/>
  <c r="U101" s="1"/>
  <c r="V101"/>
  <c r="K19"/>
  <c r="P105" s="1"/>
  <c r="T105" s="1"/>
  <c r="K11"/>
  <c r="P97" s="1"/>
  <c r="T97" s="1"/>
  <c r="P82" i="15"/>
  <c r="P86"/>
  <c r="P90"/>
  <c r="P94"/>
  <c r="P98"/>
  <c r="P101"/>
  <c r="P81"/>
  <c r="P85"/>
  <c r="P89"/>
  <c r="P93"/>
  <c r="P97"/>
  <c r="P80"/>
  <c r="P84"/>
  <c r="P88"/>
  <c r="P92"/>
  <c r="P96"/>
  <c r="P100"/>
  <c r="P103"/>
  <c r="P79"/>
  <c r="P83"/>
  <c r="P87"/>
  <c r="P91"/>
  <c r="P95"/>
  <c r="P99"/>
  <c r="P102"/>
  <c r="M24" i="6"/>
  <c r="R110" s="1"/>
  <c r="U110" s="1"/>
  <c r="M19"/>
  <c r="O105" s="1"/>
  <c r="R96" i="4"/>
  <c r="U96" s="1"/>
  <c r="O96"/>
  <c r="K3" i="2"/>
  <c r="P85" s="1"/>
  <c r="R85" s="1"/>
  <c r="M18" i="6"/>
  <c r="M22"/>
  <c r="M23"/>
  <c r="K3" i="5"/>
  <c r="P91" s="1"/>
  <c r="R91" s="1"/>
  <c r="M20" i="6"/>
  <c r="M6"/>
  <c r="M25"/>
  <c r="R98" i="4"/>
  <c r="U98" s="1"/>
  <c r="O98"/>
  <c r="R109"/>
  <c r="U109" s="1"/>
  <c r="K23" l="1"/>
  <c r="P109" s="1"/>
  <c r="T109" s="1"/>
  <c r="R104"/>
  <c r="U104" s="1"/>
  <c r="O105"/>
  <c r="S105" s="1"/>
  <c r="R108"/>
  <c r="U108" s="1"/>
  <c r="O100"/>
  <c r="S100" s="1"/>
  <c r="K24"/>
  <c r="P110" s="1"/>
  <c r="T110" s="1"/>
  <c r="O104"/>
  <c r="R105"/>
  <c r="U105" s="1"/>
  <c r="W108"/>
  <c r="O103"/>
  <c r="S103" s="1"/>
  <c r="R93"/>
  <c r="U93" s="1"/>
  <c r="K18"/>
  <c r="P104" s="1"/>
  <c r="T104" s="1"/>
  <c r="K14" i="1"/>
  <c r="M83" s="1"/>
  <c r="P83" s="1"/>
  <c r="N83"/>
  <c r="Q83" s="1"/>
  <c r="K27"/>
  <c r="M96" s="1"/>
  <c r="P96" s="1"/>
  <c r="N96"/>
  <c r="Q96" s="1"/>
  <c r="K12"/>
  <c r="M81" s="1"/>
  <c r="P81" s="1"/>
  <c r="N81"/>
  <c r="Q81" s="1"/>
  <c r="K20"/>
  <c r="M89" s="1"/>
  <c r="P89" s="1"/>
  <c r="N89"/>
  <c r="Q89" s="1"/>
  <c r="M12"/>
  <c r="L81" s="1"/>
  <c r="O81" s="1"/>
  <c r="M27"/>
  <c r="L96" s="1"/>
  <c r="O96" s="1"/>
  <c r="M20"/>
  <c r="L89" s="1"/>
  <c r="O89" s="1"/>
  <c r="K26" i="4"/>
  <c r="P112" s="1"/>
  <c r="T112" s="1"/>
  <c r="Q112"/>
  <c r="R110"/>
  <c r="U110" s="1"/>
  <c r="V110"/>
  <c r="K5"/>
  <c r="P91" s="1"/>
  <c r="T91" s="1"/>
  <c r="V91"/>
  <c r="O106"/>
  <c r="S106" s="1"/>
  <c r="K13"/>
  <c r="P99" s="1"/>
  <c r="T99" s="1"/>
  <c r="V96"/>
  <c r="R97"/>
  <c r="U97" s="1"/>
  <c r="V97"/>
  <c r="K12"/>
  <c r="P98" s="1"/>
  <c r="T98" s="1"/>
  <c r="V98"/>
  <c r="V109"/>
  <c r="R112"/>
  <c r="U112" s="1"/>
  <c r="V90"/>
  <c r="V92"/>
  <c r="O107"/>
  <c r="S107" s="1"/>
  <c r="V107"/>
  <c r="V113"/>
  <c r="R111"/>
  <c r="U111" s="1"/>
  <c r="V103"/>
  <c r="O109"/>
  <c r="S109" s="1"/>
  <c r="O110"/>
  <c r="K10"/>
  <c r="P96" s="1"/>
  <c r="T96" s="1"/>
  <c r="W100"/>
  <c r="O97"/>
  <c r="O90"/>
  <c r="S90" s="1"/>
  <c r="R105" i="6"/>
  <c r="U105" s="1"/>
  <c r="R90" i="4"/>
  <c r="U90" s="1"/>
  <c r="K6"/>
  <c r="P92" s="1"/>
  <c r="T92" s="1"/>
  <c r="K4"/>
  <c r="P90" s="1"/>
  <c r="T90" s="1"/>
  <c r="O92"/>
  <c r="S92" s="1"/>
  <c r="R103"/>
  <c r="U103" s="1"/>
  <c r="K21"/>
  <c r="P107" s="1"/>
  <c r="T107" s="1"/>
  <c r="K17"/>
  <c r="P103" s="1"/>
  <c r="M3" i="6"/>
  <c r="K3" s="1"/>
  <c r="R107" i="4"/>
  <c r="U107" s="1"/>
  <c r="K14" i="6"/>
  <c r="P100" s="1"/>
  <c r="T100" s="1"/>
  <c r="Q100"/>
  <c r="V100" s="1"/>
  <c r="K8"/>
  <c r="P94" s="1"/>
  <c r="T94" s="1"/>
  <c r="R90"/>
  <c r="U90" s="1"/>
  <c r="O90"/>
  <c r="S90" s="1"/>
  <c r="K4"/>
  <c r="P90" s="1"/>
  <c r="T90" s="1"/>
  <c r="S108" i="4"/>
  <c r="O99"/>
  <c r="S99" s="1"/>
  <c r="R92"/>
  <c r="U92" s="1"/>
  <c r="W93"/>
  <c r="M74" i="1"/>
  <c r="P74" s="1"/>
  <c r="M88"/>
  <c r="P88" s="1"/>
  <c r="K20" i="4"/>
  <c r="P106" s="1"/>
  <c r="T106" s="1"/>
  <c r="R99"/>
  <c r="U99" s="1"/>
  <c r="O111"/>
  <c r="S111" s="1"/>
  <c r="R113"/>
  <c r="U113" s="1"/>
  <c r="O112"/>
  <c r="S112" s="1"/>
  <c r="K25"/>
  <c r="P111" s="1"/>
  <c r="T111" s="1"/>
  <c r="V111"/>
  <c r="O113"/>
  <c r="S113" s="1"/>
  <c r="K27"/>
  <c r="P113" s="1"/>
  <c r="T113" s="1"/>
  <c r="V99"/>
  <c r="O110" i="6"/>
  <c r="O101"/>
  <c r="S101" s="1"/>
  <c r="Q110"/>
  <c r="V110" s="1"/>
  <c r="R94"/>
  <c r="U94" s="1"/>
  <c r="O94"/>
  <c r="S94" s="1"/>
  <c r="M13"/>
  <c r="K13" s="1"/>
  <c r="P99" s="1"/>
  <c r="T99" s="1"/>
  <c r="K15"/>
  <c r="P101" s="1"/>
  <c r="R101"/>
  <c r="U101" s="1"/>
  <c r="O91"/>
  <c r="R91"/>
  <c r="U91" s="1"/>
  <c r="Q91"/>
  <c r="V91" s="1"/>
  <c r="K5"/>
  <c r="P91" s="1"/>
  <c r="T91" s="1"/>
  <c r="O113"/>
  <c r="R113"/>
  <c r="U113" s="1"/>
  <c r="Q113"/>
  <c r="V113" s="1"/>
  <c r="K27"/>
  <c r="P113" s="1"/>
  <c r="T113" s="1"/>
  <c r="M17"/>
  <c r="M26"/>
  <c r="M28"/>
  <c r="M11"/>
  <c r="M21"/>
  <c r="S100"/>
  <c r="O98"/>
  <c r="K12"/>
  <c r="P98" s="1"/>
  <c r="T98" s="1"/>
  <c r="R98"/>
  <c r="U98" s="1"/>
  <c r="Q98"/>
  <c r="V98" s="1"/>
  <c r="R96"/>
  <c r="U96" s="1"/>
  <c r="K10"/>
  <c r="P96" s="1"/>
  <c r="T96" s="1"/>
  <c r="O96"/>
  <c r="Q96"/>
  <c r="V96" s="1"/>
  <c r="R91" i="4"/>
  <c r="U91" s="1"/>
  <c r="R106"/>
  <c r="U106" s="1"/>
  <c r="V106"/>
  <c r="O91"/>
  <c r="S91" s="1"/>
  <c r="W101"/>
  <c r="W105"/>
  <c r="V89"/>
  <c r="O89"/>
  <c r="R89"/>
  <c r="U89" s="1"/>
  <c r="K3"/>
  <c r="P89" s="1"/>
  <c r="T89" s="1"/>
  <c r="W95"/>
  <c r="S97"/>
  <c r="V112"/>
  <c r="O95" i="6"/>
  <c r="K9"/>
  <c r="P95" s="1"/>
  <c r="T95" s="1"/>
  <c r="Q95"/>
  <c r="V95" s="1"/>
  <c r="R95"/>
  <c r="U95" s="1"/>
  <c r="P89"/>
  <c r="T89" s="1"/>
  <c r="Q89"/>
  <c r="V89" s="1"/>
  <c r="W109" i="4"/>
  <c r="S104"/>
  <c r="S98"/>
  <c r="S110"/>
  <c r="S96"/>
  <c r="W90"/>
  <c r="K19" i="6"/>
  <c r="P105" s="1"/>
  <c r="T105" s="1"/>
  <c r="K24"/>
  <c r="P110" s="1"/>
  <c r="T110" s="1"/>
  <c r="S105"/>
  <c r="S110"/>
  <c r="Q105"/>
  <c r="V105" s="1"/>
  <c r="O102"/>
  <c r="R102"/>
  <c r="U102" s="1"/>
  <c r="Q102"/>
  <c r="V102" s="1"/>
  <c r="K16"/>
  <c r="P102" s="1"/>
  <c r="T102" s="1"/>
  <c r="R106"/>
  <c r="U106" s="1"/>
  <c r="O106"/>
  <c r="Q106"/>
  <c r="V106" s="1"/>
  <c r="K20"/>
  <c r="P106" s="1"/>
  <c r="T106" s="1"/>
  <c r="R108"/>
  <c r="U108" s="1"/>
  <c r="K22"/>
  <c r="P108" s="1"/>
  <c r="T108" s="1"/>
  <c r="O108"/>
  <c r="Q108"/>
  <c r="V108" s="1"/>
  <c r="R111"/>
  <c r="U111" s="1"/>
  <c r="O111"/>
  <c r="Q111"/>
  <c r="V111" s="1"/>
  <c r="K25"/>
  <c r="P111" s="1"/>
  <c r="T111" s="1"/>
  <c r="R92"/>
  <c r="U92" s="1"/>
  <c r="Q92"/>
  <c r="V92" s="1"/>
  <c r="O92"/>
  <c r="K6"/>
  <c r="P92" s="1"/>
  <c r="T92" s="1"/>
  <c r="K7"/>
  <c r="P93" s="1"/>
  <c r="T93" s="1"/>
  <c r="R93"/>
  <c r="U93" s="1"/>
  <c r="Q93"/>
  <c r="V93" s="1"/>
  <c r="O93"/>
  <c r="R94" i="4"/>
  <c r="U94" s="1"/>
  <c r="V94"/>
  <c r="O94"/>
  <c r="K8"/>
  <c r="P94" s="1"/>
  <c r="T94" s="1"/>
  <c r="K23" i="6"/>
  <c r="P109" s="1"/>
  <c r="T109" s="1"/>
  <c r="R109"/>
  <c r="U109" s="1"/>
  <c r="O109"/>
  <c r="Q109"/>
  <c r="V109" s="1"/>
  <c r="R104"/>
  <c r="U104" s="1"/>
  <c r="O104"/>
  <c r="K18"/>
  <c r="P104" s="1"/>
  <c r="T104" s="1"/>
  <c r="Q104"/>
  <c r="V104" s="1"/>
  <c r="R102" i="4"/>
  <c r="U102" s="1"/>
  <c r="V102"/>
  <c r="O102"/>
  <c r="K16"/>
  <c r="P102" s="1"/>
  <c r="T102" s="1"/>
  <c r="V114"/>
  <c r="R114"/>
  <c r="U114" s="1"/>
  <c r="O114"/>
  <c r="K28"/>
  <c r="P114" s="1"/>
  <c r="T114" s="1"/>
  <c r="W97" l="1"/>
  <c r="W96"/>
  <c r="R89" i="6"/>
  <c r="U89" s="1"/>
  <c r="O89"/>
  <c r="W100"/>
  <c r="W90"/>
  <c r="W110" i="4"/>
  <c r="W104"/>
  <c r="W98"/>
  <c r="T103"/>
  <c r="W103"/>
  <c r="R99" i="6"/>
  <c r="U99" s="1"/>
  <c r="W92" i="4"/>
  <c r="W107"/>
  <c r="W99"/>
  <c r="W112"/>
  <c r="W111"/>
  <c r="W113"/>
  <c r="W106"/>
  <c r="W91"/>
  <c r="Q99" i="6"/>
  <c r="V99" s="1"/>
  <c r="O99"/>
  <c r="S99" s="1"/>
  <c r="W94"/>
  <c r="T101"/>
  <c r="W101"/>
  <c r="W96"/>
  <c r="S96"/>
  <c r="W98"/>
  <c r="S98"/>
  <c r="R97"/>
  <c r="U97" s="1"/>
  <c r="O97"/>
  <c r="Q97"/>
  <c r="V97" s="1"/>
  <c r="K11"/>
  <c r="P97" s="1"/>
  <c r="T97" s="1"/>
  <c r="R112"/>
  <c r="U112" s="1"/>
  <c r="Q112"/>
  <c r="V112" s="1"/>
  <c r="O112"/>
  <c r="K26"/>
  <c r="P112" s="1"/>
  <c r="T112" s="1"/>
  <c r="S113"/>
  <c r="W113"/>
  <c r="S91"/>
  <c r="W91"/>
  <c r="R107"/>
  <c r="U107" s="1"/>
  <c r="O107"/>
  <c r="Q107"/>
  <c r="V107" s="1"/>
  <c r="K21"/>
  <c r="P107" s="1"/>
  <c r="T107" s="1"/>
  <c r="R114"/>
  <c r="U114" s="1"/>
  <c r="O114"/>
  <c r="Q114"/>
  <c r="V114" s="1"/>
  <c r="K28"/>
  <c r="P114" s="1"/>
  <c r="T114" s="1"/>
  <c r="O103"/>
  <c r="R103"/>
  <c r="U103" s="1"/>
  <c r="Q103"/>
  <c r="V103" s="1"/>
  <c r="K17"/>
  <c r="P103" s="1"/>
  <c r="T103" s="1"/>
  <c r="S89" i="4"/>
  <c r="W89"/>
  <c r="S95" i="6"/>
  <c r="W95"/>
  <c r="S89"/>
  <c r="W89"/>
  <c r="S114" i="4"/>
  <c r="W114"/>
  <c r="S102"/>
  <c r="W102"/>
  <c r="S94"/>
  <c r="W94"/>
  <c r="W110" i="6"/>
  <c r="W105"/>
  <c r="S109"/>
  <c r="W109"/>
  <c r="S108"/>
  <c r="W108"/>
  <c r="S102"/>
  <c r="W102"/>
  <c r="S104"/>
  <c r="W104"/>
  <c r="S93"/>
  <c r="W93"/>
  <c r="S111"/>
  <c r="W111"/>
  <c r="S106"/>
  <c r="W106"/>
  <c r="S92"/>
  <c r="W92"/>
  <c r="W99" l="1"/>
  <c r="W107"/>
  <c r="S107"/>
  <c r="S103"/>
  <c r="W103"/>
  <c r="W112"/>
  <c r="S112"/>
  <c r="W114"/>
  <c r="S114"/>
  <c r="S97"/>
  <c r="W97"/>
</calcChain>
</file>

<file path=xl/sharedStrings.xml><?xml version="1.0" encoding="utf-8"?>
<sst xmlns="http://schemas.openxmlformats.org/spreadsheetml/2006/main" count="3412" uniqueCount="286">
  <si>
    <t>m/s</t>
  </si>
  <si>
    <r>
      <t>m</t>
    </r>
    <r>
      <rPr>
        <vertAlign val="superscript"/>
        <sz val="10"/>
        <rFont val="Arial"/>
        <family val="2"/>
      </rPr>
      <t>2</t>
    </r>
  </si>
  <si>
    <t>cm</t>
  </si>
  <si>
    <t>atm</t>
  </si>
  <si>
    <t>VALUE</t>
  </si>
  <si>
    <t>UNITS</t>
  </si>
  <si>
    <t>Benzene</t>
  </si>
  <si>
    <t>Cumene</t>
  </si>
  <si>
    <t>Ethylbenzene</t>
  </si>
  <si>
    <t>Naphthalene</t>
  </si>
  <si>
    <t>Phenol</t>
  </si>
  <si>
    <t>Styrene</t>
  </si>
  <si>
    <t>Toluene</t>
  </si>
  <si>
    <t>Carbon disulfide</t>
  </si>
  <si>
    <t>Carbonyl sulfide</t>
  </si>
  <si>
    <t>Diethanolamine</t>
  </si>
  <si>
    <t>Ethylene glycol</t>
  </si>
  <si>
    <t>Methanol</t>
  </si>
  <si>
    <r>
      <t>g/m</t>
    </r>
    <r>
      <rPr>
        <vertAlign val="superscript"/>
        <sz val="10"/>
        <rFont val="Arial"/>
        <family val="2"/>
      </rPr>
      <t>3</t>
    </r>
  </si>
  <si>
    <r>
      <t>m</t>
    </r>
    <r>
      <rPr>
        <vertAlign val="superscript"/>
        <sz val="10"/>
        <rFont val="Arial"/>
        <family val="2"/>
      </rPr>
      <t>3</t>
    </r>
    <r>
      <rPr>
        <sz val="10"/>
        <rFont val="Arial"/>
        <family val="2"/>
      </rPr>
      <t>/s</t>
    </r>
  </si>
  <si>
    <t>CAS No.</t>
  </si>
  <si>
    <t>INTERMEDIATE OUTPUTS</t>
  </si>
  <si>
    <t>AIR EMISSIONS</t>
  </si>
  <si>
    <t>g/s</t>
  </si>
  <si>
    <t>DEFAULT VARIABLES / CONSTANTS</t>
  </si>
  <si>
    <t>g/cm-s</t>
  </si>
  <si>
    <r>
      <t>g/cm</t>
    </r>
    <r>
      <rPr>
        <vertAlign val="superscript"/>
        <sz val="10"/>
        <rFont val="Arial"/>
        <family val="2"/>
      </rPr>
      <t>3</t>
    </r>
  </si>
  <si>
    <r>
      <t>Density of air (ρ</t>
    </r>
    <r>
      <rPr>
        <vertAlign val="subscript"/>
        <sz val="10"/>
        <rFont val="Arial"/>
        <family val="2"/>
      </rPr>
      <t>a</t>
    </r>
    <r>
      <rPr>
        <sz val="10"/>
        <rFont val="Arial"/>
        <family val="2"/>
      </rPr>
      <t>)</t>
    </r>
  </si>
  <si>
    <t>g/g-mol</t>
  </si>
  <si>
    <r>
      <t>Molecular weight of oil (MW</t>
    </r>
    <r>
      <rPr>
        <vertAlign val="subscript"/>
        <sz val="10"/>
        <rFont val="Arial"/>
        <family val="2"/>
      </rPr>
      <t>oil</t>
    </r>
    <r>
      <rPr>
        <sz val="10"/>
        <rFont val="Arial"/>
        <family val="2"/>
      </rPr>
      <t>)</t>
    </r>
  </si>
  <si>
    <r>
      <t>Molecular weight of air (MW</t>
    </r>
    <r>
      <rPr>
        <vertAlign val="subscript"/>
        <sz val="10"/>
        <rFont val="Arial"/>
        <family val="2"/>
      </rPr>
      <t>air</t>
    </r>
    <r>
      <rPr>
        <sz val="10"/>
        <rFont val="Arial"/>
        <family val="2"/>
      </rPr>
      <t>)</t>
    </r>
  </si>
  <si>
    <r>
      <t>Density of oil (ρ</t>
    </r>
    <r>
      <rPr>
        <vertAlign val="subscript"/>
        <sz val="10"/>
        <rFont val="Arial"/>
        <family val="2"/>
      </rPr>
      <t>oil</t>
    </r>
    <r>
      <rPr>
        <sz val="10"/>
        <rFont val="Arial"/>
        <family val="2"/>
      </rPr>
      <t>)</t>
    </r>
  </si>
  <si>
    <t>EFFLUENT WATER CONCENTRATION</t>
  </si>
  <si>
    <r>
      <t>Flow of oil (Q</t>
    </r>
    <r>
      <rPr>
        <vertAlign val="subscript"/>
        <sz val="10"/>
        <rFont val="Arial"/>
        <family val="2"/>
      </rPr>
      <t>oil</t>
    </r>
    <r>
      <rPr>
        <sz val="10"/>
        <rFont val="Arial"/>
        <family val="2"/>
      </rPr>
      <t>) [default = 0.001*Q]</t>
    </r>
  </si>
  <si>
    <r>
      <t>Density of water (ρ</t>
    </r>
    <r>
      <rPr>
        <vertAlign val="subscript"/>
        <sz val="10"/>
        <rFont val="Arial"/>
        <family val="2"/>
      </rPr>
      <t>L</t>
    </r>
    <r>
      <rPr>
        <sz val="10"/>
        <rFont val="Arial"/>
        <family val="2"/>
      </rPr>
      <t>)</t>
    </r>
  </si>
  <si>
    <t>Keq</t>
  </si>
  <si>
    <t>Universal gas constant (R )</t>
  </si>
  <si>
    <t>deg. C</t>
  </si>
  <si>
    <t>hp</t>
  </si>
  <si>
    <t>Power number (P)</t>
  </si>
  <si>
    <t>Reynolds number (Re)</t>
  </si>
  <si>
    <t>Froude number (Fr)</t>
  </si>
  <si>
    <r>
      <t>Oxygen transfer correction factor (O</t>
    </r>
    <r>
      <rPr>
        <vertAlign val="subscript"/>
        <sz val="10"/>
        <rFont val="Arial"/>
        <family val="2"/>
      </rPr>
      <t>t</t>
    </r>
    <r>
      <rPr>
        <sz val="10"/>
        <rFont val="Arial"/>
        <family val="2"/>
      </rPr>
      <t>)</t>
    </r>
  </si>
  <si>
    <t>dimensionless</t>
  </si>
  <si>
    <t>Oxygen transfer rating to surface area (J)</t>
  </si>
  <si>
    <r>
      <t>lb O</t>
    </r>
    <r>
      <rPr>
        <vertAlign val="subscript"/>
        <sz val="10"/>
        <rFont val="Arial"/>
        <family val="2"/>
      </rPr>
      <t>2</t>
    </r>
    <r>
      <rPr>
        <sz val="10"/>
        <rFont val="Arial"/>
        <family val="2"/>
      </rPr>
      <t>/hp-hr</t>
    </r>
  </si>
  <si>
    <t>m</t>
  </si>
  <si>
    <t>Impeller diameter (d)</t>
  </si>
  <si>
    <t>Impeller diameter (d*)</t>
  </si>
  <si>
    <t>ft</t>
  </si>
  <si>
    <t>Rotational speed of impeller (w)</t>
  </si>
  <si>
    <t>rad/s</t>
  </si>
  <si>
    <t>number</t>
  </si>
  <si>
    <r>
      <t>Fraction of area agitated (Va</t>
    </r>
    <r>
      <rPr>
        <vertAlign val="subscript"/>
        <sz val="10"/>
        <rFont val="Arial"/>
        <family val="2"/>
      </rPr>
      <t>v</t>
    </r>
    <r>
      <rPr>
        <sz val="10"/>
        <rFont val="Arial"/>
        <family val="2"/>
      </rPr>
      <t>), ft</t>
    </r>
    <r>
      <rPr>
        <vertAlign val="superscript"/>
        <sz val="10"/>
        <rFont val="Arial"/>
        <family val="2"/>
      </rPr>
      <t>2</t>
    </r>
  </si>
  <si>
    <t>F/D</t>
  </si>
  <si>
    <t>Effective Diameter (de)</t>
  </si>
  <si>
    <r>
      <t>Windspeed (U</t>
    </r>
    <r>
      <rPr>
        <vertAlign val="subscript"/>
        <sz val="10"/>
        <rFont val="Arial"/>
        <family val="2"/>
      </rPr>
      <t>10</t>
    </r>
    <r>
      <rPr>
        <sz val="10"/>
        <rFont val="Arial"/>
        <family val="2"/>
      </rPr>
      <t>)</t>
    </r>
  </si>
  <si>
    <t>DEFAULT VALUE</t>
  </si>
  <si>
    <t>Fraction of volume that is oil (FO)</t>
  </si>
  <si>
    <t>Compound A</t>
  </si>
  <si>
    <t>Compound B</t>
  </si>
  <si>
    <t>Compound C</t>
  </si>
  <si>
    <t>Compound Name</t>
  </si>
  <si>
    <t>Mol.Wt.</t>
  </si>
  <si>
    <t>Vap. Press. (mmHg)</t>
  </si>
  <si>
    <t>H law const. (atm-m3/mol)</t>
  </si>
  <si>
    <t>Di,w (cm2/sec)</t>
  </si>
  <si>
    <t>Di,a (cm2/sec)</t>
  </si>
  <si>
    <t>log(Kow)</t>
  </si>
  <si>
    <t>Methyl ethyl ketone</t>
  </si>
  <si>
    <t>1,3-Butadiene</t>
  </si>
  <si>
    <t>Methyl isobutyl ketone</t>
  </si>
  <si>
    <t>n-Hexane</t>
  </si>
  <si>
    <t>Cresols (total)</t>
  </si>
  <si>
    <t>Xylenes</t>
  </si>
  <si>
    <t>Methyl tert-butyl ether</t>
  </si>
  <si>
    <t>Color Code:</t>
  </si>
  <si>
    <t>Data not in HWIR database; used value from CHEMDAT8 constituent input database</t>
  </si>
  <si>
    <t>Biphenyl, 1,1-</t>
  </si>
  <si>
    <t>Dichloroethane, 1,2-</t>
  </si>
  <si>
    <t>Trimethylpentane, 2,2,4-</t>
  </si>
  <si>
    <t>Ks, (g/m3)</t>
  </si>
  <si>
    <t>a</t>
  </si>
  <si>
    <t>b</t>
  </si>
  <si>
    <t>c</t>
  </si>
  <si>
    <r>
      <t>Weight fraction of carbon in biomass (f</t>
    </r>
    <r>
      <rPr>
        <vertAlign val="subscript"/>
        <sz val="10"/>
        <rFont val="Arial"/>
        <family val="2"/>
      </rPr>
      <t>oc</t>
    </r>
    <r>
      <rPr>
        <sz val="10"/>
        <rFont val="Arial"/>
        <family val="2"/>
      </rPr>
      <t>)</t>
    </r>
  </si>
  <si>
    <t>Koc</t>
  </si>
  <si>
    <t>U*</t>
  </si>
  <si>
    <r>
      <t>Parameters for k</t>
    </r>
    <r>
      <rPr>
        <vertAlign val="subscript"/>
        <sz val="10"/>
        <rFont val="Arial"/>
        <family val="2"/>
      </rPr>
      <t>l,q</t>
    </r>
    <r>
      <rPr>
        <sz val="10"/>
        <rFont val="Arial"/>
        <family val="2"/>
      </rPr>
      <t xml:space="preserve"> calculation</t>
    </r>
  </si>
  <si>
    <r>
      <t>cm</t>
    </r>
    <r>
      <rPr>
        <vertAlign val="superscript"/>
        <sz val="10"/>
        <rFont val="Arial"/>
        <family val="2"/>
      </rPr>
      <t>2</t>
    </r>
    <r>
      <rPr>
        <sz val="10"/>
        <rFont val="Arial"/>
        <family val="2"/>
      </rPr>
      <t>/sec</t>
    </r>
  </si>
  <si>
    <r>
      <t>Diffusivity of ether in water (D</t>
    </r>
    <r>
      <rPr>
        <vertAlign val="subscript"/>
        <sz val="10"/>
        <rFont val="Arial"/>
        <family val="2"/>
      </rPr>
      <t>ether</t>
    </r>
    <r>
      <rPr>
        <sz val="10"/>
        <rFont val="Arial"/>
        <family val="2"/>
      </rPr>
      <t>)</t>
    </r>
  </si>
  <si>
    <t>Biodegradation reactions are the same as other aliphatic compounds (McCarty and Rittman, 2001).  Therefore, the known biodegradation constants for n-Hexane were substituted.</t>
  </si>
  <si>
    <t>Biodegradation reactions are the same as other aromatic hydrocarbons: oxygenase addition of molecular oxygen to one of the aromatic rings (Boyle, 1992).  Therefore, the known values for Benzene were substituted.</t>
  </si>
  <si>
    <t>Substituted Carbon disulfide biodegradation constants.</t>
  </si>
  <si>
    <r>
      <t>Oil layer thickness (O</t>
    </r>
    <r>
      <rPr>
        <vertAlign val="subscript"/>
        <sz val="10"/>
        <rFont val="Arial"/>
        <family val="2"/>
      </rPr>
      <t>layer</t>
    </r>
    <r>
      <rPr>
        <sz val="10"/>
        <rFont val="Arial"/>
        <family val="2"/>
      </rPr>
      <t>)</t>
    </r>
  </si>
  <si>
    <t>References:</t>
  </si>
  <si>
    <r>
      <t xml:space="preserve">Boyle, A.W., et al. (1992).  "Bacterial PCB Biodegradation." </t>
    </r>
    <r>
      <rPr>
        <i/>
        <sz val="8"/>
        <rFont val="Helvetica"/>
        <family val="2"/>
      </rPr>
      <t>Biodegradation</t>
    </r>
    <r>
      <rPr>
        <sz val="8"/>
        <rFont val="Helvetica"/>
        <family val="2"/>
      </rPr>
      <t xml:space="preserve"> 3(2/3), pp. 285-298.</t>
    </r>
  </si>
  <si>
    <t>Biodegradation reactions are the same as other alcohols (Rittman and McCarty, 2001).  Therefore, the known diodegradation constants for Butanol were substituted.</t>
  </si>
  <si>
    <t>Rittman, B.E. and McCarty, P.L. (2001). "Environmental Biotechnology: Principles and Applications". McGraw-Hill, New York, NY.</t>
  </si>
  <si>
    <t>Kb,max (gVO/g-s)</t>
  </si>
  <si>
    <t>CONSTITUENT CONCENTRATIONS AT POTW (C)</t>
  </si>
  <si>
    <t>INPUTS</t>
  </si>
  <si>
    <r>
      <t>CONSTITUENT INFLUENT CONCENTRATIONS (C</t>
    </r>
    <r>
      <rPr>
        <b/>
        <vertAlign val="subscript"/>
        <sz val="10"/>
        <color indexed="9"/>
        <rFont val="Arial"/>
        <family val="2"/>
      </rPr>
      <t>0</t>
    </r>
    <r>
      <rPr>
        <b/>
        <sz val="10"/>
        <color indexed="9"/>
        <rFont val="Arial"/>
        <family val="2"/>
      </rPr>
      <t>)</t>
    </r>
  </si>
  <si>
    <r>
      <t>Sc</t>
    </r>
    <r>
      <rPr>
        <b/>
        <vertAlign val="subscript"/>
        <sz val="10"/>
        <color indexed="9"/>
        <rFont val="Arial"/>
        <family val="2"/>
      </rPr>
      <t>G</t>
    </r>
  </si>
  <si>
    <r>
      <t>k</t>
    </r>
    <r>
      <rPr>
        <b/>
        <vertAlign val="subscript"/>
        <sz val="10"/>
        <color indexed="9"/>
        <rFont val="Arial"/>
        <family val="2"/>
      </rPr>
      <t>g,q</t>
    </r>
  </si>
  <si>
    <r>
      <t>k</t>
    </r>
    <r>
      <rPr>
        <b/>
        <vertAlign val="subscript"/>
        <sz val="10"/>
        <color indexed="9"/>
        <rFont val="Arial"/>
        <family val="2"/>
      </rPr>
      <t>l,t</t>
    </r>
  </si>
  <si>
    <r>
      <t>CONSTITUENT DISCHARGE CONCENTRATIONS TO POTW (C</t>
    </r>
    <r>
      <rPr>
        <b/>
        <vertAlign val="subscript"/>
        <sz val="10"/>
        <color indexed="9"/>
        <rFont val="Arial"/>
        <family val="2"/>
      </rPr>
      <t>0</t>
    </r>
    <r>
      <rPr>
        <b/>
        <sz val="10"/>
        <color indexed="9"/>
        <rFont val="Arial"/>
        <family val="2"/>
      </rPr>
      <t>)</t>
    </r>
  </si>
  <si>
    <r>
      <t>Sc</t>
    </r>
    <r>
      <rPr>
        <b/>
        <vertAlign val="subscript"/>
        <sz val="10"/>
        <color indexed="9"/>
        <rFont val="Arial"/>
        <family val="2"/>
      </rPr>
      <t>L</t>
    </r>
  </si>
  <si>
    <r>
      <t>k</t>
    </r>
    <r>
      <rPr>
        <b/>
        <vertAlign val="subscript"/>
        <sz val="10"/>
        <color indexed="9"/>
        <rFont val="Arial"/>
        <family val="2"/>
      </rPr>
      <t>l,q</t>
    </r>
  </si>
  <si>
    <r>
      <t>k</t>
    </r>
    <r>
      <rPr>
        <b/>
        <vertAlign val="subscript"/>
        <sz val="10"/>
        <color indexed="9"/>
        <rFont val="Arial"/>
        <family val="2"/>
      </rPr>
      <t>g,t</t>
    </r>
  </si>
  <si>
    <r>
      <t>K</t>
    </r>
    <r>
      <rPr>
        <b/>
        <vertAlign val="subscript"/>
        <sz val="10"/>
        <color indexed="9"/>
        <rFont val="Arial"/>
        <family val="2"/>
      </rPr>
      <t>T</t>
    </r>
  </si>
  <si>
    <r>
      <t>K</t>
    </r>
    <r>
      <rPr>
        <b/>
        <vertAlign val="subscript"/>
        <sz val="10"/>
        <color indexed="9"/>
        <rFont val="Arial"/>
        <family val="2"/>
      </rPr>
      <t>Q</t>
    </r>
  </si>
  <si>
    <r>
      <t>K</t>
    </r>
    <r>
      <rPr>
        <b/>
        <vertAlign val="subscript"/>
        <sz val="10"/>
        <color indexed="9"/>
        <rFont val="Arial"/>
        <family val="2"/>
      </rPr>
      <t>OL</t>
    </r>
  </si>
  <si>
    <r>
      <t>k</t>
    </r>
    <r>
      <rPr>
        <b/>
        <vertAlign val="subscript"/>
        <sz val="10"/>
        <color indexed="9"/>
        <rFont val="Arial"/>
        <family val="2"/>
      </rPr>
      <t xml:space="preserve">g,q, </t>
    </r>
    <r>
      <rPr>
        <b/>
        <sz val="10"/>
        <color indexed="9"/>
        <rFont val="Arial"/>
        <family val="2"/>
      </rPr>
      <t>m/s</t>
    </r>
  </si>
  <si>
    <r>
      <t>Keq</t>
    </r>
    <r>
      <rPr>
        <b/>
        <vertAlign val="subscript"/>
        <sz val="10"/>
        <color indexed="9"/>
        <rFont val="Arial"/>
        <family val="2"/>
      </rPr>
      <t>oil</t>
    </r>
  </si>
  <si>
    <r>
      <t>K</t>
    </r>
    <r>
      <rPr>
        <b/>
        <vertAlign val="subscript"/>
        <sz val="10"/>
        <color indexed="9"/>
        <rFont val="Arial"/>
        <family val="2"/>
      </rPr>
      <t xml:space="preserve">oil, </t>
    </r>
    <r>
      <rPr>
        <b/>
        <sz val="10"/>
        <color indexed="9"/>
        <rFont val="Arial"/>
        <family val="2"/>
      </rPr>
      <t>m/s</t>
    </r>
  </si>
  <si>
    <r>
      <t>Co</t>
    </r>
    <r>
      <rPr>
        <b/>
        <vertAlign val="subscript"/>
        <sz val="10"/>
        <color indexed="9"/>
        <rFont val="Arial"/>
        <family val="2"/>
      </rPr>
      <t xml:space="preserve">oil, </t>
    </r>
    <r>
      <rPr>
        <b/>
        <sz val="10"/>
        <color indexed="9"/>
        <rFont val="Arial"/>
        <family val="2"/>
      </rPr>
      <t>g/m</t>
    </r>
    <r>
      <rPr>
        <b/>
        <vertAlign val="superscript"/>
        <sz val="10"/>
        <color indexed="9"/>
        <rFont val="Arial"/>
        <family val="2"/>
      </rPr>
      <t>3</t>
    </r>
  </si>
  <si>
    <r>
      <t>C</t>
    </r>
    <r>
      <rPr>
        <b/>
        <vertAlign val="subscript"/>
        <sz val="10"/>
        <color indexed="9"/>
        <rFont val="Arial"/>
        <family val="2"/>
      </rPr>
      <t xml:space="preserve">L,oil , </t>
    </r>
    <r>
      <rPr>
        <b/>
        <sz val="10"/>
        <color indexed="9"/>
        <rFont val="Arial"/>
        <family val="2"/>
      </rPr>
      <t>g/m</t>
    </r>
    <r>
      <rPr>
        <b/>
        <vertAlign val="superscript"/>
        <sz val="10"/>
        <color indexed="9"/>
        <rFont val="Arial"/>
        <family val="2"/>
      </rPr>
      <t>3</t>
    </r>
  </si>
  <si>
    <t>SITE-SPECIFIC PROPERTIES</t>
  </si>
  <si>
    <t>DEFAULT PROPERTIES</t>
  </si>
  <si>
    <r>
      <t>k</t>
    </r>
    <r>
      <rPr>
        <b/>
        <vertAlign val="subscript"/>
        <sz val="10"/>
        <color indexed="9"/>
        <rFont val="Arial"/>
        <family val="2"/>
      </rPr>
      <t>abs</t>
    </r>
  </si>
  <si>
    <r>
      <t>Turbulent surface area (A</t>
    </r>
    <r>
      <rPr>
        <vertAlign val="subscript"/>
        <sz val="10"/>
        <rFont val="Arial"/>
        <family val="2"/>
      </rPr>
      <t>T</t>
    </r>
    <r>
      <rPr>
        <sz val="10"/>
        <rFont val="Arial"/>
        <family val="2"/>
      </rPr>
      <t>)</t>
    </r>
  </si>
  <si>
    <t>Surface area (A)</t>
  </si>
  <si>
    <t>Temperature (T)</t>
  </si>
  <si>
    <t>Wastewater flow rate (Q)</t>
  </si>
  <si>
    <r>
      <t>Total power to aerators (P</t>
    </r>
    <r>
      <rPr>
        <vertAlign val="subscript"/>
        <sz val="10"/>
        <rFont val="Arial"/>
        <family val="2"/>
      </rPr>
      <t>tot</t>
    </r>
    <r>
      <rPr>
        <sz val="10"/>
        <rFont val="Arial"/>
        <family val="2"/>
      </rPr>
      <t>)</t>
    </r>
  </si>
  <si>
    <r>
      <t>Number of aerators (N</t>
    </r>
    <r>
      <rPr>
        <vertAlign val="subscript"/>
        <sz val="10"/>
        <rFont val="Arial"/>
        <family val="2"/>
      </rPr>
      <t>aer</t>
    </r>
    <r>
      <rPr>
        <sz val="10"/>
        <rFont val="Arial"/>
        <family val="2"/>
      </rPr>
      <t>)</t>
    </r>
  </si>
  <si>
    <t>CRITICAL INPUTS</t>
  </si>
  <si>
    <t>Wastewater discharge flow rate (Q)</t>
  </si>
  <si>
    <r>
      <t>POTW Wastewater flow rate (Q</t>
    </r>
    <r>
      <rPr>
        <vertAlign val="subscript"/>
        <sz val="10"/>
        <rFont val="Arial"/>
        <family val="2"/>
      </rPr>
      <t>POTW</t>
    </r>
    <r>
      <rPr>
        <sz val="10"/>
        <rFont val="Arial"/>
        <family val="2"/>
      </rPr>
      <t>)</t>
    </r>
  </si>
  <si>
    <r>
      <t>Total pressure (P</t>
    </r>
    <r>
      <rPr>
        <vertAlign val="subscript"/>
        <sz val="10"/>
        <rFont val="Arial"/>
        <family val="2"/>
      </rPr>
      <t>o</t>
    </r>
    <r>
      <rPr>
        <sz val="10"/>
        <rFont val="Arial"/>
        <family val="2"/>
      </rPr>
      <t>)</t>
    </r>
  </si>
  <si>
    <t>Wastewater depth (D)</t>
  </si>
  <si>
    <r>
      <t>Diffused air flow rate (Q</t>
    </r>
    <r>
      <rPr>
        <vertAlign val="subscript"/>
        <sz val="10"/>
        <rFont val="Arial"/>
        <family val="2"/>
      </rPr>
      <t>a</t>
    </r>
    <r>
      <rPr>
        <sz val="10"/>
        <rFont val="Arial"/>
        <family val="2"/>
      </rPr>
      <t>)</t>
    </r>
  </si>
  <si>
    <r>
      <t>Turbulent surface area (Va</t>
    </r>
    <r>
      <rPr>
        <vertAlign val="subscript"/>
        <sz val="10"/>
        <rFont val="Arial"/>
        <family val="2"/>
      </rPr>
      <t>v</t>
    </r>
    <r>
      <rPr>
        <sz val="10"/>
        <rFont val="Arial"/>
        <family val="2"/>
      </rPr>
      <t>), ft</t>
    </r>
    <r>
      <rPr>
        <vertAlign val="superscript"/>
        <sz val="10"/>
        <rFont val="Arial"/>
        <family val="2"/>
      </rPr>
      <t>2</t>
    </r>
  </si>
  <si>
    <r>
      <t>Quiescent surface area (AQ) [default=A-A</t>
    </r>
    <r>
      <rPr>
        <vertAlign val="subscript"/>
        <sz val="10"/>
        <rFont val="Arial"/>
        <family val="2"/>
      </rPr>
      <t>T</t>
    </r>
    <r>
      <rPr>
        <sz val="10"/>
        <rFont val="Arial"/>
        <family val="2"/>
      </rPr>
      <t>]</t>
    </r>
  </si>
  <si>
    <r>
      <t>Biological treatment unit volatile suspended solids (C</t>
    </r>
    <r>
      <rPr>
        <vertAlign val="subscript"/>
        <sz val="10"/>
        <rFont val="Arial"/>
        <family val="2"/>
      </rPr>
      <t>MLVSS</t>
    </r>
    <r>
      <rPr>
        <sz val="10"/>
        <rFont val="Arial"/>
        <family val="2"/>
      </rPr>
      <t>)</t>
    </r>
  </si>
  <si>
    <r>
      <t>Biological treatment unit suspended solids (C</t>
    </r>
    <r>
      <rPr>
        <vertAlign val="subscript"/>
        <sz val="10"/>
        <rFont val="Arial"/>
        <family val="2"/>
      </rPr>
      <t>MLSS</t>
    </r>
    <r>
      <rPr>
        <sz val="10"/>
        <rFont val="Arial"/>
        <family val="2"/>
      </rPr>
      <t>)</t>
    </r>
  </si>
  <si>
    <t>Diffused air volumetric flow rate (Qa)</t>
  </si>
  <si>
    <r>
      <t>Quiescent area (A</t>
    </r>
    <r>
      <rPr>
        <vertAlign val="subscript"/>
        <sz val="10"/>
        <rFont val="Arial"/>
        <family val="2"/>
      </rPr>
      <t>Q</t>
    </r>
    <r>
      <rPr>
        <sz val="10"/>
        <rFont val="Arial"/>
        <family val="2"/>
      </rPr>
      <t>) [default=A-A</t>
    </r>
    <r>
      <rPr>
        <vertAlign val="subscript"/>
        <sz val="10"/>
        <rFont val="Arial"/>
        <family val="2"/>
      </rPr>
      <t>T</t>
    </r>
    <r>
      <rPr>
        <sz val="10"/>
        <rFont val="Arial"/>
        <family val="2"/>
      </rPr>
      <t>]</t>
    </r>
  </si>
  <si>
    <r>
      <t>Turbulent area (A</t>
    </r>
    <r>
      <rPr>
        <vertAlign val="subscript"/>
        <sz val="10"/>
        <rFont val="Arial"/>
        <family val="2"/>
      </rPr>
      <t>T</t>
    </r>
    <r>
      <rPr>
        <sz val="10"/>
        <rFont val="Arial"/>
        <family val="2"/>
      </rPr>
      <t>)</t>
    </r>
  </si>
  <si>
    <r>
      <t>Quiescent surface area (A</t>
    </r>
    <r>
      <rPr>
        <vertAlign val="subscript"/>
        <sz val="10"/>
        <rFont val="Arial"/>
        <family val="2"/>
      </rPr>
      <t>Q</t>
    </r>
    <r>
      <rPr>
        <sz val="10"/>
        <rFont val="Arial"/>
        <family val="2"/>
      </rPr>
      <t>) [default=A-A</t>
    </r>
    <r>
      <rPr>
        <vertAlign val="subscript"/>
        <sz val="10"/>
        <rFont val="Arial"/>
        <family val="2"/>
      </rPr>
      <t>T</t>
    </r>
    <r>
      <rPr>
        <sz val="10"/>
        <rFont val="Arial"/>
        <family val="2"/>
      </rPr>
      <t>]</t>
    </r>
  </si>
  <si>
    <r>
      <t>Wasted sludge volumetric flow rate (Q</t>
    </r>
    <r>
      <rPr>
        <vertAlign val="subscript"/>
        <sz val="10"/>
        <rFont val="Arial"/>
        <family val="2"/>
      </rPr>
      <t>w</t>
    </r>
    <r>
      <rPr>
        <sz val="10"/>
        <rFont val="Arial"/>
        <family val="2"/>
      </rPr>
      <t>)</t>
    </r>
  </si>
  <si>
    <r>
      <t>Diffusivity of oxygen in water, D</t>
    </r>
    <r>
      <rPr>
        <vertAlign val="subscript"/>
        <sz val="10"/>
        <rFont val="Arial"/>
        <family val="2"/>
      </rPr>
      <t>O2,w</t>
    </r>
  </si>
  <si>
    <t>Wastewater flow rate, Q</t>
  </si>
  <si>
    <t>Weir height, h</t>
  </si>
  <si>
    <r>
      <t>cm</t>
    </r>
    <r>
      <rPr>
        <vertAlign val="superscript"/>
        <sz val="10"/>
        <rFont val="Arial"/>
        <family val="2"/>
      </rPr>
      <t>2</t>
    </r>
    <r>
      <rPr>
        <sz val="10"/>
        <rFont val="Arial"/>
        <family val="2"/>
      </rPr>
      <t>/s</t>
    </r>
  </si>
  <si>
    <t xml:space="preserve">                                                                                                                                                                                                                                                                                                                                                                                                                                                                                                                            </t>
  </si>
  <si>
    <r>
      <t>Influent 5-day biochemcial oxygen demand concentration (C</t>
    </r>
    <r>
      <rPr>
        <vertAlign val="subscript"/>
        <sz val="10"/>
        <rFont val="Arial"/>
        <family val="2"/>
      </rPr>
      <t>BOD5,i</t>
    </r>
    <r>
      <rPr>
        <sz val="10"/>
        <rFont val="Arial"/>
        <family val="2"/>
      </rPr>
      <t>)</t>
    </r>
  </si>
  <si>
    <t>Biomass volatile suspend solids yield from influent BOD (Y)</t>
  </si>
  <si>
    <t>g VSS/g BOD</t>
  </si>
  <si>
    <t>a1</t>
  </si>
  <si>
    <t>b1</t>
  </si>
  <si>
    <t>c1</t>
  </si>
  <si>
    <t>Pollutant</t>
  </si>
  <si>
    <t>% Load air emitted</t>
  </si>
  <si>
    <t>Influent load, g/s</t>
  </si>
  <si>
    <t>Effluent load, g/s</t>
  </si>
  <si>
    <t>Air emission load, g/s</t>
  </si>
  <si>
    <t>% Load with effluent</t>
  </si>
  <si>
    <t>QUALITY CONTROL CHECKS</t>
  </si>
  <si>
    <t>Collection System</t>
  </si>
  <si>
    <t>Air Emissions</t>
  </si>
  <si>
    <r>
      <t>atm-m</t>
    </r>
    <r>
      <rPr>
        <vertAlign val="superscript"/>
        <sz val="10"/>
        <rFont val="Arial"/>
        <family val="2"/>
      </rPr>
      <t>3</t>
    </r>
    <r>
      <rPr>
        <sz val="10"/>
        <rFont val="Arial"/>
        <family val="2"/>
      </rPr>
      <t>/gmol-K</t>
    </r>
  </si>
  <si>
    <r>
      <t>Viscosity of air (</t>
    </r>
    <r>
      <rPr>
        <sz val="10"/>
        <rFont val="Symbol"/>
        <family val="1"/>
        <charset val="2"/>
      </rPr>
      <t>m</t>
    </r>
    <r>
      <rPr>
        <vertAlign val="subscript"/>
        <sz val="10"/>
        <rFont val="Arial"/>
        <family val="2"/>
      </rPr>
      <t>a</t>
    </r>
    <r>
      <rPr>
        <sz val="10"/>
        <rFont val="Arial"/>
        <family val="2"/>
      </rPr>
      <t>)</t>
    </r>
  </si>
  <si>
    <r>
      <t>Viscosity of water (</t>
    </r>
    <r>
      <rPr>
        <sz val="10"/>
        <rFont val="Symbol"/>
        <family val="1"/>
        <charset val="2"/>
      </rPr>
      <t>m</t>
    </r>
    <r>
      <rPr>
        <vertAlign val="subscript"/>
        <sz val="10"/>
        <rFont val="Arial"/>
        <family val="2"/>
      </rPr>
      <t>L</t>
    </r>
    <r>
      <rPr>
        <sz val="10"/>
        <rFont val="Arial"/>
        <family val="2"/>
      </rPr>
      <t>)</t>
    </r>
  </si>
  <si>
    <r>
      <t>WAS VSS, g/m</t>
    </r>
    <r>
      <rPr>
        <vertAlign val="superscript"/>
        <sz val="10"/>
        <rFont val="Arial"/>
        <family val="2"/>
      </rPr>
      <t>3</t>
    </r>
  </si>
  <si>
    <r>
      <t>Wasted sludge volatile suspended solids (C</t>
    </r>
    <r>
      <rPr>
        <vertAlign val="subscript"/>
        <sz val="10"/>
        <rFont val="Arial"/>
        <family val="2"/>
      </rPr>
      <t>WAS,VSS</t>
    </r>
    <r>
      <rPr>
        <sz val="10"/>
        <rFont val="Arial"/>
        <family val="2"/>
      </rPr>
      <t>)</t>
    </r>
  </si>
  <si>
    <t>f</t>
  </si>
  <si>
    <r>
      <t>lb/in</t>
    </r>
    <r>
      <rPr>
        <vertAlign val="superscript"/>
        <sz val="10"/>
        <rFont val="Arial"/>
        <family val="2"/>
      </rPr>
      <t>2</t>
    </r>
  </si>
  <si>
    <r>
      <t>Blower gauge pressure (P</t>
    </r>
    <r>
      <rPr>
        <vertAlign val="subscript"/>
        <sz val="10"/>
        <rFont val="Arial"/>
        <family val="2"/>
      </rPr>
      <t>g</t>
    </r>
    <r>
      <rPr>
        <sz val="10"/>
        <rFont val="Arial"/>
        <family val="2"/>
      </rPr>
      <t>)</t>
    </r>
  </si>
  <si>
    <r>
      <t>Average volumetric air flow rate, m</t>
    </r>
    <r>
      <rPr>
        <vertAlign val="superscript"/>
        <sz val="10"/>
        <rFont val="Arial"/>
        <family val="2"/>
      </rPr>
      <t>3</t>
    </r>
    <r>
      <rPr>
        <sz val="10"/>
        <rFont val="Arial"/>
        <family val="2"/>
      </rPr>
      <t>/s</t>
    </r>
  </si>
  <si>
    <r>
      <t>a, m</t>
    </r>
    <r>
      <rPr>
        <vertAlign val="superscript"/>
        <sz val="10"/>
        <rFont val="Arial"/>
        <family val="2"/>
      </rPr>
      <t>-1</t>
    </r>
  </si>
  <si>
    <r>
      <t>NH</t>
    </r>
    <r>
      <rPr>
        <vertAlign val="subscript"/>
        <sz val="10"/>
        <rFont val="Arial"/>
        <family val="2"/>
      </rPr>
      <t>3</t>
    </r>
    <r>
      <rPr>
        <sz val="10"/>
        <rFont val="Arial"/>
        <family val="2"/>
      </rPr>
      <t xml:space="preserve"> K</t>
    </r>
    <r>
      <rPr>
        <vertAlign val="subscript"/>
        <sz val="10"/>
        <rFont val="Arial"/>
        <family val="2"/>
      </rPr>
      <t>L</t>
    </r>
    <r>
      <rPr>
        <sz val="10"/>
        <rFont val="Arial"/>
        <family val="2"/>
      </rPr>
      <t>a, s</t>
    </r>
    <r>
      <rPr>
        <vertAlign val="superscript"/>
        <sz val="10"/>
        <rFont val="Arial"/>
        <family val="2"/>
      </rPr>
      <t>-1</t>
    </r>
  </si>
  <si>
    <r>
      <t>NH3 K</t>
    </r>
    <r>
      <rPr>
        <vertAlign val="subscript"/>
        <sz val="10"/>
        <rFont val="Arial"/>
        <family val="2"/>
      </rPr>
      <t>L</t>
    </r>
    <r>
      <rPr>
        <sz val="10"/>
        <rFont val="Arial"/>
        <family val="2"/>
      </rPr>
      <t>, m/s</t>
    </r>
  </si>
  <si>
    <t>Calculated</t>
  </si>
  <si>
    <t>Absorbed load, g/s</t>
  </si>
  <si>
    <t>% Load absorbed</t>
  </si>
  <si>
    <t>Biodegradation rate, g/s</t>
  </si>
  <si>
    <t>% Biodegraded</t>
  </si>
  <si>
    <t>Mass balance Check</t>
  </si>
  <si>
    <t>Mass balance check</t>
  </si>
  <si>
    <t>Length of weir, l</t>
  </si>
  <si>
    <t>Tail water depth, z</t>
  </si>
  <si>
    <t>ln( r)</t>
  </si>
  <si>
    <t>q</t>
  </si>
  <si>
    <t>Ko</t>
  </si>
  <si>
    <r>
      <t>k</t>
    </r>
    <r>
      <rPr>
        <b/>
        <vertAlign val="subscript"/>
        <sz val="10"/>
        <color theme="0"/>
        <rFont val="Arial"/>
        <family val="2"/>
      </rPr>
      <t>l</t>
    </r>
  </si>
  <si>
    <r>
      <t>k</t>
    </r>
    <r>
      <rPr>
        <b/>
        <vertAlign val="subscript"/>
        <sz val="10"/>
        <color theme="0"/>
        <rFont val="Arial"/>
        <family val="2"/>
      </rPr>
      <t>g</t>
    </r>
  </si>
  <si>
    <t>fair</t>
  </si>
  <si>
    <t>kl Pincince</t>
  </si>
  <si>
    <t>Ko Pincince</t>
  </si>
  <si>
    <t>fair Pincince</t>
  </si>
  <si>
    <t>Emissions, Pincince</t>
  </si>
  <si>
    <t>Total Emissions</t>
  </si>
  <si>
    <t>fe, Drains</t>
  </si>
  <si>
    <t>fe, Trenches</t>
  </si>
  <si>
    <t>fe, Manholes</t>
  </si>
  <si>
    <t>fe, Junction Boxes</t>
  </si>
  <si>
    <t>fe, Lift Stations</t>
  </si>
  <si>
    <t>fe, Sumps</t>
  </si>
  <si>
    <t>Collection System Component</t>
  </si>
  <si>
    <t>POG Concentration</t>
  </si>
  <si>
    <t>Units</t>
  </si>
  <si>
    <t>Linear meters of open trench</t>
  </si>
  <si>
    <t>Process Drainage Area #1</t>
  </si>
  <si>
    <t>Process Drainage Area #2</t>
  </si>
  <si>
    <t>Process Drainage Area #3</t>
  </si>
  <si>
    <t>Process Drainage Area #4</t>
  </si>
  <si>
    <t>Process Drainage Area #5</t>
  </si>
  <si>
    <t>Process Drainage Area #6</t>
  </si>
  <si>
    <t>Process Drainage Area #7</t>
  </si>
  <si>
    <t>Process Drainage Area #8</t>
  </si>
  <si>
    <t>Process Drainage Area #9</t>
  </si>
  <si>
    <t>Process Drainage Area #10</t>
  </si>
  <si>
    <t>Process Drainage Area #11</t>
  </si>
  <si>
    <t>Process Drainage Area #12</t>
  </si>
  <si>
    <t>Process Drainage Area #13</t>
  </si>
  <si>
    <t>Process Drainage Area #14</t>
  </si>
  <si>
    <t>Process Drainage Area #15</t>
  </si>
  <si>
    <t>Process Drainage Area #16</t>
  </si>
  <si>
    <t>Process Drainage Area #17</t>
  </si>
  <si>
    <t>Process Drainage Area #18</t>
  </si>
  <si>
    <t>Process Drainage Area #19</t>
  </si>
  <si>
    <t>Process Drainage Area #20</t>
  </si>
  <si>
    <t>Manhole seal</t>
  </si>
  <si>
    <t>Number of sealed manholes</t>
  </si>
  <si>
    <t>fe, Sealed Drains</t>
  </si>
  <si>
    <t>fe, Sealed Manholes</t>
  </si>
  <si>
    <t>fe, Controlled Junction Boxes</t>
  </si>
  <si>
    <t>fe, Controlled Lift Stations</t>
  </si>
  <si>
    <t>fe, Controlled Sumps</t>
  </si>
  <si>
    <t>Collection System Component Air Emissions Control</t>
  </si>
  <si>
    <t>Control Efficiency, %</t>
  </si>
  <si>
    <t>Default Control Efficiency, %</t>
  </si>
  <si>
    <t>Number of sealed drains</t>
  </si>
  <si>
    <t>Number of uncontrolled drains</t>
  </si>
  <si>
    <t>Number of uncontrolled manholes</t>
  </si>
  <si>
    <t>Number of controlled junction boxes</t>
  </si>
  <si>
    <t>Number of uncontrolled junction boxes</t>
  </si>
  <si>
    <t>Number of uncontrolled lift stations</t>
  </si>
  <si>
    <t>Number of controlled lift stations</t>
  </si>
  <si>
    <t>Number of controlled sumps</t>
  </si>
  <si>
    <t>Number of uncontrolled sumps</t>
  </si>
  <si>
    <t>Drain water seal</t>
  </si>
  <si>
    <t>Junction box water seal</t>
  </si>
  <si>
    <t>Lift station control (e.g., carbon adsportion)</t>
  </si>
  <si>
    <t>Sump control (e.g., carbon adsorption)</t>
  </si>
  <si>
    <t>UNCONTROLLED AIR EMISSIONS</t>
  </si>
  <si>
    <t>OUTPUTS</t>
  </si>
  <si>
    <t>Collection System Effluent Concentration</t>
  </si>
  <si>
    <t>POG Total Load</t>
  </si>
  <si>
    <t>(Nakasone)</t>
  </si>
  <si>
    <t>(Pincince)</t>
  </si>
  <si>
    <t>ln( r)*</t>
  </si>
  <si>
    <r>
      <t xml:space="preserve">Each sheet is set-up with a series of </t>
    </r>
    <r>
      <rPr>
        <b/>
        <sz val="12"/>
        <rFont val="Times New Roman"/>
        <family val="1"/>
      </rPr>
      <t>critical inputs</t>
    </r>
    <r>
      <rPr>
        <sz val="12"/>
        <rFont val="Times New Roman"/>
        <family val="1"/>
      </rPr>
      <t xml:space="preserve">, </t>
    </r>
    <r>
      <rPr>
        <b/>
        <sz val="12"/>
        <rFont val="Times New Roman"/>
        <family val="1"/>
      </rPr>
      <t>constants/variables</t>
    </r>
    <r>
      <rPr>
        <sz val="12"/>
        <rFont val="Times New Roman"/>
        <family val="1"/>
      </rPr>
      <t xml:space="preserve"> with default values, and </t>
    </r>
    <r>
      <rPr>
        <b/>
        <sz val="12"/>
        <rFont val="Times New Roman"/>
        <family val="1"/>
      </rPr>
      <t>outputs</t>
    </r>
    <r>
      <rPr>
        <sz val="12"/>
        <rFont val="Times New Roman"/>
        <family val="1"/>
      </rPr>
      <t>. The following procedure should be used to reliably use RWET:</t>
    </r>
  </si>
  <si>
    <t>Butane (VOC Surrogate)</t>
  </si>
  <si>
    <t>n-Butane (VOC Surrogate)</t>
  </si>
  <si>
    <r>
      <t>1.</t>
    </r>
    <r>
      <rPr>
        <sz val="7"/>
        <rFont val="Times New Roman"/>
        <family val="1"/>
      </rPr>
      <t xml:space="preserve">      </t>
    </r>
    <r>
      <rPr>
        <sz val="12"/>
        <rFont val="Times New Roman"/>
        <family val="1"/>
      </rPr>
      <t>Determine the critical inputs of the unit listed on the corresponding sheet of RWET and record them on appropriate sheet.</t>
    </r>
  </si>
  <si>
    <r>
      <t>2.</t>
    </r>
    <r>
      <rPr>
        <sz val="7"/>
        <rFont val="Times New Roman"/>
        <family val="1"/>
      </rPr>
      <t xml:space="preserve">      </t>
    </r>
    <r>
      <rPr>
        <sz val="12"/>
        <rFont val="Times New Roman"/>
        <family val="1"/>
      </rPr>
      <t>Determine the influent concentrations of the pollutants of interest and input them into the model.</t>
    </r>
  </si>
  <si>
    <r>
      <t>3.</t>
    </r>
    <r>
      <rPr>
        <sz val="7"/>
        <rFont val="Times New Roman"/>
        <family val="1"/>
      </rPr>
      <t xml:space="preserve">      </t>
    </r>
    <r>
      <rPr>
        <sz val="12"/>
        <rFont val="Times New Roman"/>
        <family val="1"/>
      </rPr>
      <t>Review the default values of the variables and constants and make site-specific adjustments if necessary.</t>
    </r>
  </si>
  <si>
    <r>
      <t>4.</t>
    </r>
    <r>
      <rPr>
        <sz val="7"/>
        <rFont val="Times New Roman"/>
        <family val="1"/>
      </rPr>
      <t xml:space="preserve">      </t>
    </r>
    <r>
      <rPr>
        <sz val="12"/>
        <rFont val="Times New Roman"/>
        <family val="1"/>
      </rPr>
      <t>Review the chemical properties sheet and make any site-specific adjustments if necessary.</t>
    </r>
  </si>
  <si>
    <r>
      <t>5.</t>
    </r>
    <r>
      <rPr>
        <sz val="7"/>
        <rFont val="Times New Roman"/>
        <family val="1"/>
      </rPr>
      <t xml:space="preserve">      </t>
    </r>
    <r>
      <rPr>
        <sz val="12"/>
        <rFont val="Times New Roman"/>
        <family val="1"/>
      </rPr>
      <t>Record the air emissions for reporting and copy the pollutant effluent concentrations as inputs to the next downstream unit.</t>
    </r>
  </si>
  <si>
    <r>
      <t>6.</t>
    </r>
    <r>
      <rPr>
        <sz val="7"/>
        <rFont val="Times New Roman"/>
        <family val="1"/>
      </rPr>
      <t xml:space="preserve">      </t>
    </r>
    <r>
      <rPr>
        <sz val="12"/>
        <rFont val="Times New Roman"/>
        <family val="1"/>
      </rPr>
      <t>Repeat this process for the next downstream unit.</t>
    </r>
  </si>
  <si>
    <r>
      <rPr>
        <b/>
        <sz val="10"/>
        <rFont val="Arial"/>
        <family val="2"/>
      </rPr>
      <t>This sheet is used for facilities that discharge wastewater to a POTW only</t>
    </r>
    <r>
      <rPr>
        <sz val="10"/>
        <rFont val="Arial"/>
        <family val="2"/>
      </rPr>
      <t xml:space="preserve">. Directions: 1) Input (yellow boxes) facility wastewater flow rate and flow rate at the POTW; 2) Input (yellow boxes) constituent concentrations in the facility wastewater.  The outputs (green boxes) are the pollutant concentration after dilution in the POTW wastewater. The treatment units of the POTW are then used to estimate air emissions using RWET. </t>
    </r>
  </si>
  <si>
    <r>
      <t>This sheet is used for wastewater collection systems</t>
    </r>
    <r>
      <rPr>
        <sz val="10"/>
        <rFont val="Arial"/>
        <family val="2"/>
      </rPr>
      <t>.  Directions: 1) input the number of collection system components for each process drainage area; 2) input the process drainage area point-of-generation concentrations and flow rate (yellow boxes); 3) review the default air emissions control efficiencies and change if necessary; and 4) record the collection system air emissions and wastewater concentrations for downstream process units air emissions calculations (green boxes).</t>
    </r>
  </si>
  <si>
    <r>
      <t>This sheet is used for uncovered oil-water separators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</si>
  <si>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primary weirs and uncovered weirs of oil-water separators</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</si>
  <si>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dissolved air floatation (DAF) units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</si>
  <si>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equalization tanks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</si>
  <si>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uncovered biological treatment units with diffused aeration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</si>
  <si>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This sheet is used for biological treatment units with mechanical aeration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</si>
  <si>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t>minWindSpd</t>
  </si>
  <si>
    <t>REFINERY WASTEWATER EMISSION TOOL:  ICR VERSION 2.1 (RWETv2.1)</t>
  </si>
  <si>
    <t>Predicted BOD Removal Effic.</t>
  </si>
  <si>
    <r>
      <t>This sheet is used for uncovered quiescent tanks and surface impoundments only</t>
    </r>
    <r>
      <rPr>
        <sz val="10"/>
        <rFont val="Arial"/>
        <family val="2"/>
      </rPr>
      <t>.  Directions: 1) fill-in the input data (yellow boxes); review default variables and constant (yellow boxes) and change if necessary; 2) record air emissions (green boxes); and 3) record effluent concentrations (light blue boxes) for downstream process unit emission calculations.</t>
    </r>
  </si>
  <si>
    <r>
      <t>Note:  Set C</t>
    </r>
    <r>
      <rPr>
        <vertAlign val="subscript"/>
        <sz val="10"/>
        <color rgb="FFFF0000"/>
        <rFont val="Arial"/>
        <family val="2"/>
      </rPr>
      <t>MLVSS</t>
    </r>
    <r>
      <rPr>
        <sz val="10"/>
        <color rgb="FFFF0000"/>
        <rFont val="Arial"/>
        <family val="2"/>
      </rPr>
      <t xml:space="preserve"> = 0 for a non-biologically active unit</t>
    </r>
  </si>
  <si>
    <t>Recovered in oil, g/s</t>
  </si>
  <si>
    <t>% Load to oil</t>
  </si>
  <si>
    <t>The Refinery Wastewater Emissions Tool Version 2.1 (RWET) is an Excel-based model designed to help regulated facilities estimate air emissions from wastewater collection and treatment systems. Separate sheets in RWET represent individual components in a typical wastewater treatment system and can estimate emissions for that particular unit. Effluent concentrations from a particular component can then be used as inputs for the next downstream collection or treatment unit. The calculations are primarily based on those presented in EPA AP-42 but also include updates deemed more accurate in the literature. The equations are presented in Appendix B of the emission protocol document.</t>
  </si>
  <si>
    <t>Facility Name:</t>
  </si>
  <si>
    <t>Facility ID No.:</t>
  </si>
  <si>
    <t>Form Approved 03/28/2011</t>
  </si>
  <si>
    <t>OMB Control No. 2060-0657</t>
  </si>
  <si>
    <t>Approval Expires 03/31/2016</t>
  </si>
  <si>
    <t>WWTS ID No.:</t>
  </si>
  <si>
    <t>Please enter your Facility ID, Facility Name, and WWTS ID for the information provided in this spreadsheet:</t>
  </si>
</sst>
</file>

<file path=xl/styles.xml><?xml version="1.0" encoding="utf-8"?>
<styleSheet xmlns="http://schemas.openxmlformats.org/spreadsheetml/2006/main">
  <numFmts count="11">
    <numFmt numFmtId="164" formatCode="0.0000"/>
    <numFmt numFmtId="165" formatCode="0.0"/>
    <numFmt numFmtId="166" formatCode="0.000"/>
    <numFmt numFmtId="167" formatCode="0.00000"/>
    <numFmt numFmtId="168" formatCode="0.0E+00"/>
    <numFmt numFmtId="169" formatCode="General_)"/>
    <numFmt numFmtId="170" formatCode="0.0000000"/>
    <numFmt numFmtId="171" formatCode="0.00000000"/>
    <numFmt numFmtId="172" formatCode="0.000E+00"/>
    <numFmt numFmtId="173" formatCode="0.000000"/>
    <numFmt numFmtId="174" formatCode="0.0000E+00"/>
  </numFmts>
  <fonts count="32">
    <font>
      <sz val="10"/>
      <name val="Arial"/>
    </font>
    <font>
      <sz val="10"/>
      <name val="Arial"/>
      <family val="2"/>
    </font>
    <font>
      <vertAlign val="subscript"/>
      <sz val="10"/>
      <name val="Arial"/>
      <family val="2"/>
    </font>
    <font>
      <vertAlign val="superscript"/>
      <sz val="10"/>
      <name val="Arial"/>
      <family val="2"/>
    </font>
    <font>
      <b/>
      <sz val="10"/>
      <name val="Arial"/>
      <family val="2"/>
    </font>
    <font>
      <sz val="8"/>
      <name val="Arial"/>
      <family val="2"/>
    </font>
    <font>
      <sz val="8"/>
      <name val="Helvetica"/>
      <family val="2"/>
    </font>
    <font>
      <sz val="10"/>
      <name val="MS Sans Serif"/>
      <family val="2"/>
    </font>
    <font>
      <sz val="8"/>
      <name val="Helvetica"/>
      <family val="2"/>
    </font>
    <font>
      <b/>
      <sz val="8"/>
      <color indexed="9"/>
      <name val="Arial"/>
      <family val="2"/>
    </font>
    <font>
      <i/>
      <sz val="8"/>
      <name val="Helvetica"/>
      <family val="2"/>
    </font>
    <font>
      <b/>
      <sz val="14"/>
      <name val="Helvetica"/>
      <family val="2"/>
    </font>
    <font>
      <b/>
      <sz val="10"/>
      <color indexed="9"/>
      <name val="Arial"/>
      <family val="2"/>
    </font>
    <font>
      <b/>
      <vertAlign val="subscript"/>
      <sz val="10"/>
      <color indexed="9"/>
      <name val="Arial"/>
      <family val="2"/>
    </font>
    <font>
      <b/>
      <vertAlign val="superscript"/>
      <sz val="10"/>
      <color indexed="9"/>
      <name val="Arial"/>
      <family val="2"/>
    </font>
    <font>
      <sz val="12"/>
      <name val="Times New Roman"/>
      <family val="1"/>
    </font>
    <font>
      <b/>
      <sz val="12"/>
      <name val="Times New Roman"/>
      <family val="1"/>
    </font>
    <font>
      <sz val="7"/>
      <name val="Times New Roman"/>
      <family val="1"/>
    </font>
    <font>
      <sz val="10"/>
      <name val="Symbol"/>
      <family val="1"/>
      <charset val="2"/>
    </font>
    <font>
      <b/>
      <sz val="8"/>
      <name val="Helvetica"/>
      <family val="2"/>
    </font>
    <font>
      <sz val="8"/>
      <color theme="3"/>
      <name val="Helvetica"/>
      <family val="2"/>
    </font>
    <font>
      <b/>
      <sz val="10"/>
      <color theme="0"/>
      <name val="Arial"/>
      <family val="2"/>
    </font>
    <font>
      <sz val="10"/>
      <color theme="0"/>
      <name val="Arial"/>
      <family val="2"/>
    </font>
    <font>
      <sz val="11"/>
      <color rgb="FFFFFFFF"/>
      <name val="Calibri"/>
      <family val="2"/>
    </font>
    <font>
      <b/>
      <sz val="26"/>
      <color theme="4"/>
      <name val="Arial"/>
      <family val="2"/>
    </font>
    <font>
      <b/>
      <vertAlign val="subscript"/>
      <sz val="10"/>
      <color theme="0"/>
      <name val="Arial"/>
      <family val="2"/>
    </font>
    <font>
      <b/>
      <sz val="16"/>
      <name val="Helvetica"/>
      <family val="2"/>
    </font>
    <font>
      <sz val="10"/>
      <color rgb="FFFF0000"/>
      <name val="Arial"/>
      <family val="2"/>
    </font>
    <font>
      <sz val="10"/>
      <color theme="1"/>
      <name val="Arial"/>
      <family val="2"/>
    </font>
    <font>
      <vertAlign val="subscript"/>
      <sz val="10"/>
      <color rgb="FFFF0000"/>
      <name val="Arial"/>
      <family val="2"/>
    </font>
    <font>
      <b/>
      <i/>
      <sz val="12"/>
      <color theme="1"/>
      <name val="Times New Roman"/>
      <family val="1"/>
    </font>
    <font>
      <sz val="10"/>
      <name val="Times New Roman"/>
      <family val="1"/>
    </font>
  </fonts>
  <fills count="34">
    <fill>
      <patternFill patternType="none"/>
    </fill>
    <fill>
      <patternFill patternType="gray125"/>
    </fill>
    <fill>
      <patternFill patternType="solid">
        <fgColor indexed="13"/>
        <bgColor indexed="64"/>
      </patternFill>
    </fill>
    <fill>
      <patternFill patternType="solid">
        <fgColor indexed="1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bgColor indexed="64"/>
      </patternFill>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theme="6"/>
        <bgColor theme="0"/>
      </patternFill>
    </fill>
    <fill>
      <patternFill patternType="solid">
        <fgColor indexed="12"/>
        <bgColor theme="0"/>
      </patternFill>
    </fill>
    <fill>
      <patternFill patternType="solid">
        <fgColor indexed="34"/>
        <bgColor theme="0"/>
      </patternFill>
    </fill>
    <fill>
      <patternFill patternType="solid">
        <fgColor indexed="13"/>
        <bgColor theme="0"/>
      </patternFill>
    </fill>
    <fill>
      <patternFill patternType="solid">
        <fgColor indexed="41"/>
        <bgColor theme="0"/>
      </patternFill>
    </fill>
    <fill>
      <patternFill patternType="solid">
        <fgColor rgb="FFFFFF00"/>
        <bgColor theme="0"/>
      </patternFill>
    </fill>
    <fill>
      <patternFill patternType="solid">
        <fgColor indexed="11"/>
        <bgColor theme="0"/>
      </patternFill>
    </fill>
    <fill>
      <patternFill patternType="solid">
        <fgColor theme="8" tint="0.59999389629810485"/>
        <bgColor theme="0"/>
      </patternFill>
    </fill>
    <fill>
      <patternFill patternType="solid">
        <fgColor theme="3" tint="0.59999389629810485"/>
        <bgColor theme="0"/>
      </patternFill>
    </fill>
    <fill>
      <patternFill patternType="solid">
        <fgColor rgb="FF00B0F0"/>
        <bgColor theme="0"/>
      </patternFill>
    </fill>
    <fill>
      <patternFill patternType="solid">
        <fgColor rgb="FF002060"/>
        <bgColor theme="0"/>
      </patternFill>
    </fill>
    <fill>
      <patternFill patternType="solid">
        <fgColor rgb="FF92D050"/>
        <bgColor indexed="64"/>
      </patternFill>
    </fill>
    <fill>
      <patternFill patternType="solid">
        <fgColor indexed="40"/>
        <bgColor theme="0"/>
      </patternFill>
    </fill>
    <fill>
      <patternFill patternType="solid">
        <fgColor rgb="FFFFFF00"/>
        <bgColor indexed="64"/>
      </patternFill>
    </fill>
    <fill>
      <patternFill patternType="solid">
        <fgColor rgb="FF00B050"/>
        <bgColor theme="0"/>
      </patternFill>
    </fill>
    <fill>
      <patternFill patternType="solid">
        <fgColor rgb="FFC00000"/>
        <bgColor theme="0"/>
      </patternFill>
    </fill>
    <fill>
      <patternFill patternType="solid">
        <fgColor rgb="FFFF0000"/>
        <bgColor theme="0"/>
      </patternFill>
    </fill>
    <fill>
      <patternFill patternType="solid">
        <fgColor theme="9"/>
        <bgColor theme="0"/>
      </patternFill>
    </fill>
    <fill>
      <patternFill patternType="solid">
        <fgColor rgb="FF0000FF"/>
        <bgColor theme="0"/>
      </patternFill>
    </fill>
    <fill>
      <patternFill patternType="darkGray">
        <fgColor theme="0"/>
      </patternFill>
    </fill>
    <fill>
      <patternFill patternType="solid">
        <fgColor rgb="FF92D050"/>
        <bgColor theme="0"/>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321">
    <xf numFmtId="0" fontId="0" fillId="0" borderId="0" xfId="0"/>
    <xf numFmtId="0" fontId="6" fillId="0" borderId="0" xfId="1" applyFont="1"/>
    <xf numFmtId="0" fontId="6" fillId="0" borderId="0" xfId="1" applyFont="1" applyBorder="1" applyAlignment="1">
      <alignment horizontal="left" wrapText="1"/>
    </xf>
    <xf numFmtId="168" fontId="6" fillId="0" borderId="0" xfId="1" applyNumberFormat="1" applyFont="1" applyBorder="1" applyAlignment="1">
      <alignment horizontal="center"/>
    </xf>
    <xf numFmtId="2" fontId="8" fillId="0" borderId="0" xfId="1" applyNumberFormat="1" applyFont="1" applyBorder="1" applyAlignment="1">
      <alignment horizontal="center"/>
    </xf>
    <xf numFmtId="11" fontId="6" fillId="0" borderId="0" xfId="1" applyNumberFormat="1" applyFont="1" applyBorder="1" applyAlignment="1">
      <alignment horizontal="center"/>
    </xf>
    <xf numFmtId="169" fontId="6" fillId="0" borderId="0" xfId="1" applyNumberFormat="1" applyFont="1" applyProtection="1"/>
    <xf numFmtId="11" fontId="8" fillId="0" borderId="0" xfId="1" applyNumberFormat="1" applyFont="1" applyFill="1" applyBorder="1" applyAlignment="1">
      <alignment horizontal="center" vertical="center"/>
    </xf>
    <xf numFmtId="2" fontId="6" fillId="0" borderId="0" xfId="1" applyNumberFormat="1" applyFont="1"/>
    <xf numFmtId="0" fontId="6" fillId="0" borderId="1" xfId="1" applyFont="1" applyBorder="1"/>
    <xf numFmtId="0" fontId="6" fillId="0" borderId="1" xfId="1" applyFont="1" applyBorder="1" applyAlignment="1">
      <alignment wrapText="1"/>
    </xf>
    <xf numFmtId="2" fontId="8" fillId="0" borderId="1" xfId="1" applyNumberFormat="1" applyFont="1" applyBorder="1" applyAlignment="1">
      <alignment horizontal="center"/>
    </xf>
    <xf numFmtId="11" fontId="6" fillId="0" borderId="1" xfId="1" applyNumberFormat="1" applyFont="1" applyBorder="1" applyAlignment="1">
      <alignment horizontal="center"/>
    </xf>
    <xf numFmtId="168" fontId="6" fillId="0" borderId="1" xfId="1" applyNumberFormat="1" applyFont="1" applyBorder="1" applyAlignment="1">
      <alignment horizontal="center"/>
    </xf>
    <xf numFmtId="0" fontId="6" fillId="0" borderId="1" xfId="1" applyFont="1" applyBorder="1" applyAlignment="1">
      <alignment horizontal="center"/>
    </xf>
    <xf numFmtId="169" fontId="6" fillId="0" borderId="1" xfId="1" applyNumberFormat="1" applyFont="1" applyBorder="1" applyAlignment="1" applyProtection="1">
      <alignment horizontal="center"/>
    </xf>
    <xf numFmtId="11" fontId="8" fillId="0" borderId="1" xfId="1" applyNumberFormat="1" applyFont="1" applyFill="1" applyBorder="1" applyAlignment="1">
      <alignment horizontal="center" vertical="center"/>
    </xf>
    <xf numFmtId="0" fontId="6" fillId="0" borderId="1" xfId="1" quotePrefix="1" applyFont="1" applyBorder="1" applyAlignment="1">
      <alignment horizontal="left" wrapText="1"/>
    </xf>
    <xf numFmtId="0" fontId="6" fillId="0" borderId="1" xfId="1" applyFont="1" applyBorder="1" applyAlignment="1" applyProtection="1">
      <alignment horizontal="center"/>
    </xf>
    <xf numFmtId="0" fontId="6" fillId="0" borderId="1" xfId="1" applyFont="1" applyBorder="1" applyAlignment="1">
      <alignment horizontal="left" wrapText="1"/>
    </xf>
    <xf numFmtId="2" fontId="8" fillId="0" borderId="1" xfId="1" applyNumberFormat="1" applyFont="1" applyBorder="1" applyAlignment="1">
      <alignment horizontal="center" vertical="top" wrapText="1"/>
    </xf>
    <xf numFmtId="11" fontId="6" fillId="0" borderId="1" xfId="1" applyNumberFormat="1" applyFont="1" applyBorder="1" applyAlignment="1">
      <alignment horizontal="center" vertical="top" wrapText="1"/>
    </xf>
    <xf numFmtId="11" fontId="6" fillId="2" borderId="1" xfId="1" applyNumberFormat="1" applyFont="1" applyFill="1" applyBorder="1" applyAlignment="1">
      <alignment horizontal="center"/>
    </xf>
    <xf numFmtId="2" fontId="8" fillId="2" borderId="1" xfId="1" applyNumberFormat="1" applyFont="1" applyFill="1" applyBorder="1" applyAlignment="1">
      <alignment horizontal="center"/>
    </xf>
    <xf numFmtId="168" fontId="6" fillId="2" borderId="1" xfId="1" applyNumberFormat="1" applyFont="1" applyFill="1" applyBorder="1" applyAlignment="1">
      <alignment horizontal="center"/>
    </xf>
    <xf numFmtId="0" fontId="6" fillId="2" borderId="1" xfId="1" applyFont="1" applyFill="1" applyBorder="1" applyAlignment="1">
      <alignment horizontal="center"/>
    </xf>
    <xf numFmtId="0" fontId="6" fillId="0" borderId="1" xfId="1" applyNumberFormat="1" applyFont="1" applyBorder="1" applyAlignment="1"/>
    <xf numFmtId="2" fontId="6" fillId="2" borderId="1" xfId="1" applyNumberFormat="1" applyFont="1" applyFill="1" applyBorder="1" applyAlignment="1" applyProtection="1">
      <alignment horizontal="center"/>
    </xf>
    <xf numFmtId="2" fontId="8" fillId="0" borderId="1" xfId="1" applyNumberFormat="1" applyFont="1" applyBorder="1" applyAlignment="1">
      <alignment horizontal="center" vertical="top"/>
    </xf>
    <xf numFmtId="2" fontId="6" fillId="0" borderId="1" xfId="1" applyNumberFormat="1" applyFont="1" applyBorder="1" applyAlignment="1">
      <alignment horizontal="center"/>
    </xf>
    <xf numFmtId="0" fontId="6" fillId="0" borderId="1" xfId="1" applyFont="1" applyFill="1" applyBorder="1"/>
    <xf numFmtId="0" fontId="9" fillId="3" borderId="1" xfId="1" applyFont="1" applyFill="1" applyBorder="1" applyAlignment="1">
      <alignment horizontal="center" wrapText="1"/>
    </xf>
    <xf numFmtId="2" fontId="8" fillId="0" borderId="1" xfId="1" applyNumberFormat="1" applyFont="1" applyFill="1" applyBorder="1" applyAlignment="1">
      <alignment horizontal="center"/>
    </xf>
    <xf numFmtId="11" fontId="6" fillId="0" borderId="1" xfId="1" applyNumberFormat="1" applyFont="1" applyFill="1" applyBorder="1" applyAlignment="1">
      <alignment horizontal="center"/>
    </xf>
    <xf numFmtId="168" fontId="6" fillId="0" borderId="1" xfId="1" applyNumberFormat="1" applyFont="1" applyFill="1" applyBorder="1" applyAlignment="1">
      <alignment horizontal="center"/>
    </xf>
    <xf numFmtId="0" fontId="6" fillId="0" borderId="1" xfId="1" applyFont="1" applyFill="1" applyBorder="1" applyAlignment="1">
      <alignment horizontal="center"/>
    </xf>
    <xf numFmtId="0" fontId="6" fillId="0" borderId="1" xfId="1" applyFont="1" applyFill="1" applyBorder="1" applyAlignment="1" applyProtection="1">
      <alignment horizontal="center"/>
    </xf>
    <xf numFmtId="169" fontId="6" fillId="0" borderId="1" xfId="1" applyNumberFormat="1" applyFont="1" applyFill="1" applyBorder="1" applyAlignment="1" applyProtection="1">
      <alignment horizontal="center"/>
    </xf>
    <xf numFmtId="2" fontId="6" fillId="0" borderId="1" xfId="1" applyNumberFormat="1" applyFont="1" applyFill="1" applyBorder="1" applyAlignment="1" applyProtection="1">
      <alignment horizontal="center"/>
    </xf>
    <xf numFmtId="2" fontId="8" fillId="0" borderId="1" xfId="1" applyNumberFormat="1" applyFont="1" applyFill="1" applyBorder="1" applyAlignment="1">
      <alignment horizontal="center" vertical="top"/>
    </xf>
    <xf numFmtId="2" fontId="6" fillId="0" borderId="1" xfId="1" applyNumberFormat="1" applyFont="1" applyFill="1" applyBorder="1" applyAlignment="1">
      <alignment horizontal="center"/>
    </xf>
    <xf numFmtId="0" fontId="9" fillId="3" borderId="1" xfId="1" applyFont="1" applyFill="1" applyBorder="1" applyAlignment="1">
      <alignment horizontal="center"/>
    </xf>
    <xf numFmtId="0" fontId="6" fillId="4" borderId="1" xfId="1" applyFont="1" applyFill="1" applyBorder="1" applyAlignment="1" applyProtection="1">
      <alignment horizontal="center"/>
    </xf>
    <xf numFmtId="0" fontId="6" fillId="0" borderId="0" xfId="1" applyFont="1" applyBorder="1" applyAlignment="1">
      <alignment horizontal="left"/>
    </xf>
    <xf numFmtId="0" fontId="6" fillId="4" borderId="1" xfId="1" applyFont="1" applyFill="1" applyBorder="1"/>
    <xf numFmtId="169" fontId="6" fillId="5" borderId="1" xfId="1" applyNumberFormat="1" applyFont="1" applyFill="1" applyBorder="1" applyAlignment="1" applyProtection="1">
      <alignment horizontal="center"/>
    </xf>
    <xf numFmtId="0" fontId="6" fillId="5" borderId="1" xfId="1" applyFont="1" applyFill="1" applyBorder="1"/>
    <xf numFmtId="0" fontId="6" fillId="2" borderId="1" xfId="1" applyFont="1" applyFill="1" applyBorder="1"/>
    <xf numFmtId="0" fontId="6" fillId="6" borderId="1" xfId="1" applyFont="1" applyFill="1" applyBorder="1" applyAlignment="1" applyProtection="1">
      <alignment horizontal="center"/>
    </xf>
    <xf numFmtId="0" fontId="6" fillId="6" borderId="1" xfId="1" applyFont="1" applyFill="1" applyBorder="1"/>
    <xf numFmtId="0" fontId="6" fillId="7" borderId="1" xfId="1" applyFont="1" applyFill="1" applyBorder="1" applyAlignment="1" applyProtection="1">
      <alignment horizontal="center"/>
    </xf>
    <xf numFmtId="0" fontId="6" fillId="7" borderId="1" xfId="1" applyFont="1" applyFill="1" applyBorder="1"/>
    <xf numFmtId="0" fontId="20" fillId="8" borderId="1" xfId="1" applyFont="1" applyFill="1" applyBorder="1"/>
    <xf numFmtId="0" fontId="0" fillId="9" borderId="0" xfId="0" applyFill="1"/>
    <xf numFmtId="0" fontId="0" fillId="10" borderId="0" xfId="0" applyFill="1"/>
    <xf numFmtId="0" fontId="1" fillId="10" borderId="0" xfId="0" applyFont="1" applyFill="1" applyBorder="1"/>
    <xf numFmtId="0" fontId="1" fillId="10" borderId="1" xfId="0" applyFont="1" applyFill="1" applyBorder="1" applyAlignment="1" applyProtection="1">
      <alignment horizontal="left"/>
    </xf>
    <xf numFmtId="0" fontId="1" fillId="10" borderId="0" xfId="0" applyFont="1" applyFill="1"/>
    <xf numFmtId="0" fontId="1" fillId="11" borderId="0" xfId="0" applyFont="1" applyFill="1"/>
    <xf numFmtId="0" fontId="1" fillId="10" borderId="1" xfId="0" applyFont="1" applyFill="1" applyBorder="1" applyAlignment="1" applyProtection="1">
      <alignment horizontal="center"/>
    </xf>
    <xf numFmtId="0" fontId="5" fillId="10" borderId="1" xfId="1" applyFont="1" applyFill="1" applyBorder="1" applyAlignment="1">
      <alignment wrapText="1"/>
    </xf>
    <xf numFmtId="166" fontId="1" fillId="12" borderId="1" xfId="0" applyNumberFormat="1" applyFont="1" applyFill="1" applyBorder="1" applyAlignment="1">
      <alignment horizontal="center"/>
    </xf>
    <xf numFmtId="0" fontId="5" fillId="10" borderId="1" xfId="1" quotePrefix="1" applyFont="1" applyFill="1" applyBorder="1" applyAlignment="1">
      <alignment horizontal="left" wrapText="1"/>
    </xf>
    <xf numFmtId="0" fontId="5" fillId="10" borderId="1" xfId="1" applyFont="1" applyFill="1" applyBorder="1" applyAlignment="1">
      <alignment horizontal="left" wrapText="1"/>
    </xf>
    <xf numFmtId="0" fontId="5" fillId="10" borderId="1" xfId="1" applyNumberFormat="1" applyFont="1" applyFill="1" applyBorder="1" applyAlignment="1"/>
    <xf numFmtId="0" fontId="5" fillId="10" borderId="1" xfId="1" applyFont="1" applyFill="1" applyBorder="1"/>
    <xf numFmtId="166" fontId="1" fillId="14" borderId="1" xfId="0" applyNumberFormat="1" applyFont="1" applyFill="1" applyBorder="1" applyAlignment="1" applyProtection="1">
      <alignment horizontal="center"/>
      <protection locked="0"/>
    </xf>
    <xf numFmtId="166" fontId="1" fillId="15" borderId="1" xfId="0" applyNumberFormat="1" applyFont="1" applyFill="1" applyBorder="1" applyAlignment="1">
      <alignment horizontal="center"/>
    </xf>
    <xf numFmtId="0" fontId="21" fillId="13" borderId="0" xfId="0" applyFont="1" applyFill="1" applyAlignment="1">
      <alignment horizontal="center"/>
    </xf>
    <xf numFmtId="0" fontId="4" fillId="10" borderId="0" xfId="0" applyFont="1" applyFill="1" applyAlignment="1">
      <alignment horizontal="center"/>
    </xf>
    <xf numFmtId="0" fontId="1" fillId="14" borderId="1" xfId="0" applyFont="1" applyFill="1" applyBorder="1" applyAlignment="1" applyProtection="1">
      <alignment horizontal="center"/>
      <protection locked="0"/>
    </xf>
    <xf numFmtId="0" fontId="1" fillId="10" borderId="1" xfId="0" applyFont="1" applyFill="1" applyBorder="1"/>
    <xf numFmtId="0" fontId="1" fillId="10" borderId="1" xfId="0" applyFont="1" applyFill="1" applyBorder="1" applyAlignment="1">
      <alignment horizontal="center"/>
    </xf>
    <xf numFmtId="0" fontId="1" fillId="14" borderId="1" xfId="0" applyFont="1" applyFill="1" applyBorder="1" applyAlignment="1">
      <alignment horizontal="center"/>
    </xf>
    <xf numFmtId="0" fontId="1" fillId="15" borderId="1" xfId="0" applyFont="1" applyFill="1" applyBorder="1" applyAlignment="1">
      <alignment horizontal="center"/>
    </xf>
    <xf numFmtId="0" fontId="1" fillId="17" borderId="1" xfId="0" applyFont="1" applyFill="1" applyBorder="1" applyAlignment="1">
      <alignment horizontal="center"/>
    </xf>
    <xf numFmtId="164" fontId="1" fillId="15" borderId="1" xfId="0" applyNumberFormat="1" applyFont="1" applyFill="1" applyBorder="1" applyAlignment="1">
      <alignment horizontal="center"/>
    </xf>
    <xf numFmtId="0" fontId="1" fillId="10" borderId="0" xfId="0" applyFont="1" applyFill="1" applyBorder="1" applyAlignment="1" applyProtection="1">
      <alignment horizontal="center"/>
      <protection locked="0"/>
    </xf>
    <xf numFmtId="0" fontId="1" fillId="10" borderId="0" xfId="0" applyFont="1" applyFill="1" applyBorder="1" applyAlignment="1" applyProtection="1">
      <alignment horizontal="left"/>
    </xf>
    <xf numFmtId="0" fontId="1" fillId="10" borderId="0" xfId="0" applyFont="1" applyFill="1" applyBorder="1" applyAlignment="1" applyProtection="1">
      <alignment horizontal="center"/>
    </xf>
    <xf numFmtId="0" fontId="1" fillId="10" borderId="0" xfId="0" applyFont="1" applyFill="1" applyBorder="1" applyAlignment="1">
      <alignment horizontal="center"/>
    </xf>
    <xf numFmtId="0" fontId="5" fillId="10" borderId="2" xfId="1" applyFont="1" applyFill="1" applyBorder="1"/>
    <xf numFmtId="0" fontId="1" fillId="10" borderId="2" xfId="0" applyFont="1" applyFill="1" applyBorder="1" applyAlignment="1" applyProtection="1">
      <alignment horizontal="center"/>
    </xf>
    <xf numFmtId="0" fontId="21" fillId="13" borderId="1" xfId="0" applyFont="1" applyFill="1" applyBorder="1"/>
    <xf numFmtId="0" fontId="4" fillId="10" borderId="0" xfId="0" applyFont="1" applyFill="1" applyBorder="1"/>
    <xf numFmtId="2" fontId="1" fillId="10" borderId="0" xfId="0" applyNumberFormat="1" applyFont="1" applyFill="1" applyBorder="1"/>
    <xf numFmtId="0" fontId="22" fillId="11" borderId="0" xfId="0" applyFont="1" applyFill="1"/>
    <xf numFmtId="0" fontId="1" fillId="14" borderId="2" xfId="0" applyFont="1" applyFill="1" applyBorder="1" applyAlignment="1">
      <alignment horizontal="center"/>
    </xf>
    <xf numFmtId="0" fontId="1" fillId="11" borderId="0" xfId="0" applyFont="1" applyFill="1" applyBorder="1"/>
    <xf numFmtId="0" fontId="1" fillId="11" borderId="0" xfId="0" applyFont="1" applyFill="1" applyBorder="1" applyAlignment="1">
      <alignment horizontal="center"/>
    </xf>
    <xf numFmtId="0" fontId="1" fillId="10" borderId="0" xfId="0" applyFont="1" applyFill="1" applyAlignment="1">
      <alignment wrapText="1"/>
    </xf>
    <xf numFmtId="0" fontId="5" fillId="10" borderId="0" xfId="1" applyFont="1" applyFill="1" applyBorder="1"/>
    <xf numFmtId="165" fontId="1" fillId="14" borderId="1" xfId="0" applyNumberFormat="1" applyFont="1" applyFill="1" applyBorder="1" applyAlignment="1" applyProtection="1">
      <alignment horizontal="center"/>
      <protection locked="0"/>
    </xf>
    <xf numFmtId="165" fontId="1" fillId="14" borderId="2" xfId="0" applyNumberFormat="1" applyFont="1" applyFill="1" applyBorder="1" applyAlignment="1">
      <alignment horizontal="center"/>
    </xf>
    <xf numFmtId="0" fontId="21" fillId="13" borderId="3" xfId="0" applyFont="1" applyFill="1" applyBorder="1"/>
    <xf numFmtId="0" fontId="21" fillId="13" borderId="3" xfId="0" applyFont="1" applyFill="1" applyBorder="1" applyAlignment="1">
      <alignment horizontal="center"/>
    </xf>
    <xf numFmtId="0" fontId="1" fillId="19" borderId="1" xfId="0" applyFont="1" applyFill="1" applyBorder="1" applyAlignment="1">
      <alignment horizontal="center"/>
    </xf>
    <xf numFmtId="11" fontId="1" fillId="17" borderId="1" xfId="0" applyNumberFormat="1" applyFont="1" applyFill="1" applyBorder="1" applyAlignment="1">
      <alignment horizontal="center"/>
    </xf>
    <xf numFmtId="11" fontId="1" fillId="19" borderId="1" xfId="0" applyNumberFormat="1" applyFont="1" applyFill="1" applyBorder="1" applyAlignment="1">
      <alignment horizontal="center"/>
    </xf>
    <xf numFmtId="0" fontId="1" fillId="0" borderId="1" xfId="0" applyFont="1" applyFill="1" applyBorder="1"/>
    <xf numFmtId="1" fontId="1" fillId="17" borderId="1" xfId="0" applyNumberFormat="1" applyFont="1" applyFill="1" applyBorder="1" applyAlignment="1">
      <alignment horizontal="center"/>
    </xf>
    <xf numFmtId="0" fontId="1" fillId="20" borderId="1" xfId="0" applyFont="1" applyFill="1" applyBorder="1" applyAlignment="1">
      <alignment horizontal="center"/>
    </xf>
    <xf numFmtId="1" fontId="1" fillId="20" borderId="1" xfId="0" applyNumberFormat="1" applyFont="1" applyFill="1" applyBorder="1" applyAlignment="1">
      <alignment horizontal="center"/>
    </xf>
    <xf numFmtId="11" fontId="1" fillId="20" borderId="1" xfId="0" applyNumberFormat="1" applyFont="1" applyFill="1" applyBorder="1" applyAlignment="1">
      <alignment horizontal="center"/>
    </xf>
    <xf numFmtId="0" fontId="22" fillId="11" borderId="0" xfId="0" applyFont="1" applyFill="1" applyBorder="1" applyAlignment="1" applyProtection="1">
      <alignment horizontal="center"/>
      <protection locked="0"/>
    </xf>
    <xf numFmtId="172" fontId="1" fillId="10" borderId="1" xfId="0" applyNumberFormat="1" applyFont="1" applyFill="1" applyBorder="1"/>
    <xf numFmtId="172" fontId="1" fillId="10" borderId="0" xfId="0" applyNumberFormat="1" applyFont="1" applyFill="1"/>
    <xf numFmtId="172" fontId="1" fillId="10" borderId="0" xfId="0" applyNumberFormat="1" applyFont="1" applyFill="1" applyBorder="1"/>
    <xf numFmtId="172" fontId="1" fillId="0" borderId="1" xfId="0" applyNumberFormat="1" applyFont="1" applyFill="1" applyBorder="1"/>
    <xf numFmtId="0" fontId="1" fillId="0" borderId="1" xfId="0" applyFont="1" applyFill="1" applyBorder="1" applyAlignment="1" applyProtection="1">
      <alignment horizontal="left"/>
    </xf>
    <xf numFmtId="0" fontId="1" fillId="0" borderId="0" xfId="0" applyFont="1" applyFill="1"/>
    <xf numFmtId="0" fontId="1" fillId="17" borderId="1" xfId="0" applyFont="1" applyFill="1" applyBorder="1" applyAlignment="1" applyProtection="1">
      <alignment horizontal="center"/>
      <protection locked="0"/>
    </xf>
    <xf numFmtId="0" fontId="1" fillId="17" borderId="2" xfId="0" applyFont="1" applyFill="1" applyBorder="1" applyAlignment="1">
      <alignment horizontal="center"/>
    </xf>
    <xf numFmtId="0" fontId="1" fillId="9" borderId="0" xfId="0" applyFont="1" applyFill="1" applyBorder="1"/>
    <xf numFmtId="0" fontId="1" fillId="9" borderId="0" xfId="0" applyFont="1" applyFill="1" applyBorder="1" applyAlignment="1">
      <alignment horizontal="center"/>
    </xf>
    <xf numFmtId="0" fontId="1" fillId="9" borderId="0" xfId="0" applyFont="1" applyFill="1" applyBorder="1" applyAlignment="1" applyProtection="1">
      <alignment horizontal="center"/>
    </xf>
    <xf numFmtId="0" fontId="1" fillId="9" borderId="0" xfId="0" applyFont="1" applyFill="1" applyBorder="1" applyAlignment="1" applyProtection="1">
      <alignment horizontal="center"/>
      <protection locked="0"/>
    </xf>
    <xf numFmtId="0" fontId="1" fillId="9" borderId="0" xfId="0" applyFont="1" applyFill="1"/>
    <xf numFmtId="0" fontId="21" fillId="13" borderId="1" xfId="0" applyFont="1" applyFill="1" applyBorder="1" applyAlignment="1">
      <alignment horizontal="center"/>
    </xf>
    <xf numFmtId="0" fontId="1" fillId="10" borderId="1" xfId="0" applyFont="1" applyFill="1" applyBorder="1" applyAlignment="1">
      <alignment horizontal="center" vertical="top"/>
    </xf>
    <xf numFmtId="0" fontId="1" fillId="9" borderId="1" xfId="0" applyFont="1" applyFill="1" applyBorder="1"/>
    <xf numFmtId="171" fontId="1" fillId="10" borderId="1" xfId="0" applyNumberFormat="1" applyFont="1" applyFill="1" applyBorder="1" applyAlignment="1">
      <alignment horizontal="center"/>
    </xf>
    <xf numFmtId="0" fontId="5" fillId="9" borderId="0" xfId="1" applyFont="1" applyFill="1" applyBorder="1" applyAlignment="1">
      <alignment wrapText="1"/>
    </xf>
    <xf numFmtId="0" fontId="5" fillId="9" borderId="0" xfId="1" quotePrefix="1" applyFont="1" applyFill="1" applyBorder="1" applyAlignment="1">
      <alignment horizontal="left" wrapText="1"/>
    </xf>
    <xf numFmtId="0" fontId="5" fillId="9" borderId="0" xfId="1" applyFont="1" applyFill="1" applyBorder="1" applyAlignment="1">
      <alignment horizontal="left" wrapText="1"/>
    </xf>
    <xf numFmtId="0" fontId="5" fillId="9" borderId="0" xfId="1" applyNumberFormat="1" applyFont="1" applyFill="1" applyBorder="1" applyAlignment="1"/>
    <xf numFmtId="0" fontId="5" fillId="9" borderId="0" xfId="1" applyFont="1" applyFill="1" applyBorder="1"/>
    <xf numFmtId="166" fontId="1" fillId="10" borderId="1" xfId="0" applyNumberFormat="1" applyFont="1" applyFill="1" applyBorder="1" applyAlignment="1">
      <alignment horizontal="center"/>
    </xf>
    <xf numFmtId="0" fontId="21" fillId="21" borderId="1" xfId="0" applyFont="1" applyFill="1" applyBorder="1"/>
    <xf numFmtId="0" fontId="22" fillId="21" borderId="1" xfId="0" applyFont="1" applyFill="1" applyBorder="1" applyAlignment="1">
      <alignment wrapText="1"/>
    </xf>
    <xf numFmtId="1" fontId="1" fillId="10" borderId="1" xfId="0" applyNumberFormat="1" applyFont="1" applyFill="1" applyBorder="1" applyAlignment="1">
      <alignment horizontal="center"/>
    </xf>
    <xf numFmtId="0" fontId="22" fillId="11" borderId="0" xfId="0" applyNumberFormat="1" applyFont="1" applyFill="1" applyBorder="1" applyAlignment="1">
      <alignment vertical="center" wrapText="1"/>
    </xf>
    <xf numFmtId="0" fontId="22" fillId="11" borderId="0" xfId="0" applyFont="1" applyFill="1" applyBorder="1" applyAlignment="1">
      <alignment wrapText="1"/>
    </xf>
    <xf numFmtId="1" fontId="1" fillId="11" borderId="0" xfId="0" applyNumberFormat="1" applyFont="1" applyFill="1" applyBorder="1" applyAlignment="1">
      <alignment horizontal="center"/>
    </xf>
    <xf numFmtId="0" fontId="21" fillId="22" borderId="4" xfId="0" applyFont="1" applyFill="1" applyBorder="1" applyAlignment="1">
      <alignment horizontal="center"/>
    </xf>
    <xf numFmtId="0" fontId="21" fillId="11" borderId="0" xfId="0" applyFont="1" applyFill="1" applyBorder="1" applyAlignment="1">
      <alignment horizontal="center"/>
    </xf>
    <xf numFmtId="0" fontId="23" fillId="9" borderId="0" xfId="0" applyFont="1" applyFill="1" applyBorder="1" applyAlignment="1">
      <alignment horizontal="center"/>
    </xf>
    <xf numFmtId="0" fontId="24" fillId="9" borderId="0" xfId="0" applyFont="1" applyFill="1"/>
    <xf numFmtId="0" fontId="15" fillId="9" borderId="0" xfId="0" applyFont="1" applyFill="1"/>
    <xf numFmtId="0" fontId="23" fillId="9" borderId="0" xfId="0" applyFont="1" applyFill="1" applyAlignment="1">
      <alignment horizontal="center"/>
    </xf>
    <xf numFmtId="0" fontId="15" fillId="9" borderId="0" xfId="0" applyFont="1" applyFill="1" applyAlignment="1"/>
    <xf numFmtId="0" fontId="19" fillId="23" borderId="0" xfId="1" applyFont="1" applyFill="1"/>
    <xf numFmtId="2" fontId="1" fillId="10" borderId="1" xfId="0" applyNumberFormat="1" applyFont="1" applyFill="1" applyBorder="1" applyAlignment="1">
      <alignment horizontal="center"/>
    </xf>
    <xf numFmtId="0" fontId="22" fillId="26" borderId="1" xfId="0" applyFont="1" applyFill="1" applyBorder="1" applyAlignment="1">
      <alignment wrapText="1"/>
    </xf>
    <xf numFmtId="0" fontId="22" fillId="21" borderId="1" xfId="0" applyFont="1" applyFill="1" applyBorder="1" applyAlignment="1">
      <alignment horizontal="center" wrapText="1"/>
    </xf>
    <xf numFmtId="0" fontId="22" fillId="27" borderId="1" xfId="0" applyFont="1" applyFill="1" applyBorder="1" applyAlignment="1">
      <alignment wrapText="1"/>
    </xf>
    <xf numFmtId="0" fontId="22" fillId="27" borderId="1" xfId="0" applyFont="1" applyFill="1" applyBorder="1" applyAlignment="1">
      <alignment horizontal="center" wrapText="1"/>
    </xf>
    <xf numFmtId="0" fontId="1" fillId="22" borderId="0" xfId="0" applyFont="1" applyFill="1"/>
    <xf numFmtId="0" fontId="22" fillId="28" borderId="1" xfId="0" applyFont="1" applyFill="1" applyBorder="1" applyAlignment="1">
      <alignment wrapText="1"/>
    </xf>
    <xf numFmtId="0" fontId="22" fillId="28" borderId="1" xfId="0" applyFont="1" applyFill="1" applyBorder="1" applyAlignment="1">
      <alignment horizontal="center" wrapText="1"/>
    </xf>
    <xf numFmtId="0" fontId="22" fillId="29" borderId="0" xfId="0" applyFont="1" applyFill="1" applyAlignment="1">
      <alignment wrapText="1"/>
    </xf>
    <xf numFmtId="11" fontId="6" fillId="0" borderId="0" xfId="1" applyNumberFormat="1" applyFont="1"/>
    <xf numFmtId="0" fontId="0" fillId="22" borderId="0" xfId="0" applyFill="1"/>
    <xf numFmtId="0" fontId="22" fillId="29" borderId="1" xfId="0" applyFont="1" applyFill="1" applyBorder="1" applyAlignment="1">
      <alignment wrapText="1"/>
    </xf>
    <xf numFmtId="1" fontId="0" fillId="10" borderId="1" xfId="0" applyNumberFormat="1" applyFill="1" applyBorder="1" applyAlignment="1">
      <alignment horizontal="center"/>
    </xf>
    <xf numFmtId="0" fontId="0" fillId="10" borderId="1" xfId="0" applyFill="1" applyBorder="1" applyAlignment="1">
      <alignment horizontal="center"/>
    </xf>
    <xf numFmtId="0" fontId="21" fillId="30" borderId="1" xfId="0" applyFont="1" applyFill="1" applyBorder="1" applyAlignment="1">
      <alignment horizontal="center"/>
    </xf>
    <xf numFmtId="0" fontId="21" fillId="30" borderId="1" xfId="0" applyFont="1" applyFill="1" applyBorder="1"/>
    <xf numFmtId="0" fontId="22" fillId="30" borderId="1" xfId="0" applyFont="1" applyFill="1" applyBorder="1" applyAlignment="1">
      <alignment horizontal="center"/>
    </xf>
    <xf numFmtId="0" fontId="21" fillId="30" borderId="0" xfId="0" applyFont="1" applyFill="1" applyAlignment="1">
      <alignment horizontal="center"/>
    </xf>
    <xf numFmtId="11" fontId="0" fillId="10" borderId="1" xfId="0" applyNumberFormat="1" applyFill="1" applyBorder="1" applyAlignment="1">
      <alignment horizontal="center"/>
    </xf>
    <xf numFmtId="11" fontId="0" fillId="10" borderId="0" xfId="0" applyNumberFormat="1" applyFill="1"/>
    <xf numFmtId="167" fontId="1" fillId="10" borderId="1" xfId="0" applyNumberFormat="1" applyFont="1" applyFill="1" applyBorder="1" applyAlignment="1">
      <alignment horizontal="center"/>
    </xf>
    <xf numFmtId="174" fontId="0" fillId="10" borderId="1" xfId="0" applyNumberFormat="1" applyFill="1" applyBorder="1" applyAlignment="1">
      <alignment horizontal="center"/>
    </xf>
    <xf numFmtId="0" fontId="6" fillId="0" borderId="0" xfId="1" applyFont="1" applyAlignment="1">
      <alignment horizontal="center" wrapText="1"/>
    </xf>
    <xf numFmtId="171" fontId="6" fillId="0" borderId="1" xfId="1" applyNumberFormat="1" applyFont="1" applyBorder="1" applyAlignment="1">
      <alignment horizontal="center"/>
    </xf>
    <xf numFmtId="171" fontId="6" fillId="2" borderId="1" xfId="1" applyNumberFormat="1" applyFont="1" applyFill="1" applyBorder="1" applyAlignment="1">
      <alignment horizontal="center"/>
    </xf>
    <xf numFmtId="171" fontId="6" fillId="0" borderId="0" xfId="1" applyNumberFormat="1" applyFont="1"/>
    <xf numFmtId="173" fontId="0" fillId="0" borderId="2" xfId="0" applyNumberFormat="1" applyBorder="1" applyAlignment="1">
      <alignment horizontal="center"/>
    </xf>
    <xf numFmtId="0" fontId="1" fillId="0" borderId="1" xfId="0" applyFont="1" applyFill="1" applyBorder="1" applyAlignment="1">
      <alignment horizontal="center"/>
    </xf>
    <xf numFmtId="0" fontId="1" fillId="10" borderId="0" xfId="0" applyFont="1" applyFill="1" applyAlignment="1">
      <alignment horizontal="right"/>
    </xf>
    <xf numFmtId="167" fontId="6" fillId="0" borderId="0" xfId="1" applyNumberFormat="1" applyFont="1"/>
    <xf numFmtId="173" fontId="1" fillId="18" borderId="1" xfId="0" applyNumberFormat="1" applyFont="1" applyFill="1" applyBorder="1" applyAlignment="1">
      <alignment horizontal="center"/>
    </xf>
    <xf numFmtId="173" fontId="1" fillId="16" borderId="1" xfId="0" applyNumberFormat="1" applyFont="1" applyFill="1" applyBorder="1" applyAlignment="1">
      <alignment horizontal="center"/>
    </xf>
    <xf numFmtId="11" fontId="6" fillId="0" borderId="1" xfId="1" applyNumberFormat="1" applyFont="1" applyBorder="1"/>
    <xf numFmtId="0" fontId="5" fillId="10" borderId="7" xfId="1" applyFont="1" applyFill="1" applyBorder="1"/>
    <xf numFmtId="0" fontId="1" fillId="10" borderId="7" xfId="0" applyFont="1" applyFill="1" applyBorder="1" applyAlignment="1" applyProtection="1">
      <alignment horizontal="left"/>
    </xf>
    <xf numFmtId="0" fontId="5" fillId="10" borderId="7" xfId="1" applyFont="1" applyFill="1" applyBorder="1" applyAlignment="1">
      <alignment wrapText="1"/>
    </xf>
    <xf numFmtId="0" fontId="5" fillId="10" borderId="7" xfId="1" quotePrefix="1" applyFont="1" applyFill="1" applyBorder="1" applyAlignment="1">
      <alignment horizontal="left" wrapText="1"/>
    </xf>
    <xf numFmtId="0" fontId="5" fillId="10" borderId="7" xfId="1" applyFont="1" applyFill="1" applyBorder="1" applyAlignment="1">
      <alignment horizontal="left" wrapText="1"/>
    </xf>
    <xf numFmtId="0" fontId="5" fillId="10" borderId="7" xfId="1" applyNumberFormat="1" applyFont="1" applyFill="1" applyBorder="1" applyAlignment="1"/>
    <xf numFmtId="0" fontId="5" fillId="10" borderId="10" xfId="1" applyFont="1" applyFill="1" applyBorder="1"/>
    <xf numFmtId="166" fontId="1" fillId="14" borderId="14" xfId="0" applyNumberFormat="1" applyFont="1" applyFill="1" applyBorder="1" applyAlignment="1" applyProtection="1">
      <alignment horizontal="center"/>
      <protection locked="0"/>
    </xf>
    <xf numFmtId="164" fontId="1" fillId="15" borderId="14" xfId="0" applyNumberFormat="1" applyFont="1" applyFill="1" applyBorder="1" applyAlignment="1">
      <alignment horizontal="center"/>
    </xf>
    <xf numFmtId="0" fontId="1" fillId="10" borderId="0" xfId="0" applyFont="1" applyFill="1" applyBorder="1" applyAlignment="1">
      <alignment horizontal="center"/>
    </xf>
    <xf numFmtId="0" fontId="1" fillId="11" borderId="0" xfId="0" applyFont="1" applyFill="1" applyBorder="1" applyAlignment="1" applyProtection="1">
      <alignment horizontal="center"/>
    </xf>
    <xf numFmtId="0" fontId="21" fillId="30" borderId="1" xfId="0" applyFont="1" applyFill="1" applyBorder="1" applyAlignment="1">
      <alignment wrapText="1"/>
    </xf>
    <xf numFmtId="0" fontId="21" fillId="30" borderId="1" xfId="0" applyFont="1" applyFill="1" applyBorder="1" applyAlignment="1">
      <alignment horizontal="center" wrapText="1"/>
    </xf>
    <xf numFmtId="0" fontId="0" fillId="10" borderId="1" xfId="0" applyFill="1" applyBorder="1"/>
    <xf numFmtId="166" fontId="1" fillId="10" borderId="0" xfId="0" applyNumberFormat="1" applyFont="1" applyFill="1" applyBorder="1" applyAlignment="1" applyProtection="1">
      <alignment horizontal="center"/>
      <protection locked="0"/>
    </xf>
    <xf numFmtId="0" fontId="4" fillId="31" borderId="1" xfId="0" applyFont="1" applyFill="1" applyBorder="1" applyAlignment="1">
      <alignment horizontal="center"/>
    </xf>
    <xf numFmtId="0" fontId="4" fillId="31" borderId="15" xfId="0" applyFont="1" applyFill="1" applyBorder="1" applyAlignment="1">
      <alignment horizontal="center"/>
    </xf>
    <xf numFmtId="0" fontId="21" fillId="30" borderId="7" xfId="0" applyFont="1" applyFill="1" applyBorder="1"/>
    <xf numFmtId="0" fontId="21" fillId="30" borderId="14" xfId="0" applyFont="1" applyFill="1" applyBorder="1" applyAlignment="1">
      <alignment horizontal="center" wrapText="1"/>
    </xf>
    <xf numFmtId="0" fontId="21" fillId="30" borderId="15" xfId="0" applyFont="1" applyFill="1" applyBorder="1" applyAlignment="1">
      <alignment horizontal="center"/>
    </xf>
    <xf numFmtId="172" fontId="0" fillId="26" borderId="1" xfId="0" applyNumberFormat="1" applyFill="1" applyBorder="1"/>
    <xf numFmtId="0" fontId="1" fillId="10" borderId="15" xfId="0" applyFont="1" applyFill="1" applyBorder="1" applyAlignment="1">
      <alignment horizontal="center"/>
    </xf>
    <xf numFmtId="171" fontId="0" fillId="10" borderId="0" xfId="0" applyNumberFormat="1" applyFill="1"/>
    <xf numFmtId="171" fontId="1" fillId="10" borderId="0" xfId="0" applyNumberFormat="1" applyFont="1" applyFill="1" applyBorder="1"/>
    <xf numFmtId="0" fontId="21" fillId="30" borderId="15" xfId="0" applyFont="1" applyFill="1" applyBorder="1" applyAlignment="1">
      <alignment horizontal="center" wrapText="1"/>
    </xf>
    <xf numFmtId="0" fontId="0" fillId="10" borderId="0" xfId="0" applyFill="1" applyBorder="1"/>
    <xf numFmtId="0" fontId="1" fillId="10" borderId="7" xfId="0" applyFont="1" applyFill="1" applyBorder="1" applyAlignment="1">
      <alignment horizontal="center"/>
    </xf>
    <xf numFmtId="167" fontId="0" fillId="32" borderId="1" xfId="0" applyNumberFormat="1" applyFill="1" applyBorder="1" applyAlignment="1">
      <alignment horizontal="center"/>
    </xf>
    <xf numFmtId="164" fontId="0" fillId="10" borderId="1" xfId="0" applyNumberFormat="1" applyFill="1" applyBorder="1" applyAlignment="1">
      <alignment horizontal="center"/>
    </xf>
    <xf numFmtId="172" fontId="5" fillId="10" borderId="0" xfId="0" applyNumberFormat="1" applyFont="1" applyFill="1" applyBorder="1"/>
    <xf numFmtId="0" fontId="9" fillId="13" borderId="1" xfId="1" applyFont="1" applyFill="1" applyBorder="1" applyAlignment="1">
      <alignment horizontal="center" wrapText="1"/>
    </xf>
    <xf numFmtId="0" fontId="9" fillId="13" borderId="3" xfId="1" applyFont="1" applyFill="1" applyBorder="1" applyAlignment="1">
      <alignment horizontal="center" wrapText="1"/>
    </xf>
    <xf numFmtId="0" fontId="9" fillId="13" borderId="2" xfId="1" applyFont="1" applyFill="1" applyBorder="1" applyAlignment="1">
      <alignment horizontal="center" wrapText="1"/>
    </xf>
    <xf numFmtId="172" fontId="6" fillId="10" borderId="1" xfId="1" applyNumberFormat="1" applyFont="1" applyFill="1" applyBorder="1" applyAlignment="1">
      <alignment horizontal="center"/>
    </xf>
    <xf numFmtId="172" fontId="5" fillId="10" borderId="1" xfId="0" applyNumberFormat="1" applyFont="1" applyFill="1" applyBorder="1" applyAlignment="1">
      <alignment horizontal="center"/>
    </xf>
    <xf numFmtId="172" fontId="0" fillId="10" borderId="0" xfId="0" applyNumberFormat="1" applyFill="1"/>
    <xf numFmtId="0" fontId="5" fillId="11" borderId="0" xfId="1" quotePrefix="1" applyFont="1" applyFill="1" applyBorder="1" applyAlignment="1">
      <alignment horizontal="left" wrapText="1"/>
    </xf>
    <xf numFmtId="0" fontId="5" fillId="11" borderId="0" xfId="1" applyFont="1" applyFill="1" applyBorder="1"/>
    <xf numFmtId="166" fontId="1" fillId="11" borderId="0" xfId="0" applyNumberFormat="1" applyFont="1" applyFill="1" applyBorder="1" applyAlignment="1">
      <alignment horizontal="center"/>
    </xf>
    <xf numFmtId="0" fontId="1" fillId="11" borderId="1" xfId="0" applyFont="1" applyFill="1" applyBorder="1"/>
    <xf numFmtId="164" fontId="1" fillId="11" borderId="0" xfId="0" applyNumberFormat="1" applyFont="1" applyFill="1" applyBorder="1" applyAlignment="1">
      <alignment horizontal="center"/>
    </xf>
    <xf numFmtId="172" fontId="0" fillId="11" borderId="0" xfId="0" applyNumberFormat="1" applyFill="1" applyBorder="1"/>
    <xf numFmtId="171" fontId="0" fillId="11" borderId="0" xfId="0" applyNumberFormat="1" applyFill="1" applyBorder="1"/>
    <xf numFmtId="167" fontId="0" fillId="11" borderId="0" xfId="0" applyNumberFormat="1" applyFill="1" applyBorder="1" applyAlignment="1">
      <alignment horizontal="center"/>
    </xf>
    <xf numFmtId="164" fontId="0" fillId="11" borderId="0" xfId="0" applyNumberFormat="1" applyFill="1" applyBorder="1" applyAlignment="1">
      <alignment horizontal="center"/>
    </xf>
    <xf numFmtId="172" fontId="6" fillId="11" borderId="0" xfId="1" applyNumberFormat="1" applyFont="1" applyFill="1" applyBorder="1" applyAlignment="1">
      <alignment horizontal="center"/>
    </xf>
    <xf numFmtId="172" fontId="5" fillId="11" borderId="0" xfId="0" applyNumberFormat="1" applyFont="1" applyFill="1" applyBorder="1" applyAlignment="1">
      <alignment horizontal="center"/>
    </xf>
    <xf numFmtId="0" fontId="1" fillId="10" borderId="0" xfId="0" applyFont="1" applyFill="1" applyBorder="1" applyAlignment="1">
      <alignment horizontal="center"/>
    </xf>
    <xf numFmtId="172" fontId="0" fillId="10" borderId="0" xfId="0" applyNumberFormat="1" applyFill="1" applyBorder="1"/>
    <xf numFmtId="167" fontId="1" fillId="11" borderId="0" xfId="0" applyNumberFormat="1" applyFont="1" applyFill="1" applyBorder="1" applyAlignment="1">
      <alignment horizontal="center"/>
    </xf>
    <xf numFmtId="172" fontId="1" fillId="11" borderId="0" xfId="0" applyNumberFormat="1" applyFont="1" applyFill="1" applyBorder="1"/>
    <xf numFmtId="11" fontId="0" fillId="11" borderId="0" xfId="0" applyNumberFormat="1" applyFill="1" applyBorder="1" applyAlignment="1">
      <alignment horizontal="center"/>
    </xf>
    <xf numFmtId="174" fontId="0" fillId="11" borderId="0" xfId="0" applyNumberFormat="1" applyFill="1" applyBorder="1" applyAlignment="1">
      <alignment horizontal="center"/>
    </xf>
    <xf numFmtId="0" fontId="0" fillId="11" borderId="0" xfId="0" applyFill="1" applyBorder="1" applyAlignment="1">
      <alignment horizontal="center"/>
    </xf>
    <xf numFmtId="1" fontId="0" fillId="11" borderId="0" xfId="0" applyNumberFormat="1" applyFill="1" applyBorder="1" applyAlignment="1">
      <alignment horizontal="center"/>
    </xf>
    <xf numFmtId="171" fontId="1" fillId="11" borderId="0" xfId="0" applyNumberFormat="1" applyFont="1" applyFill="1" applyBorder="1" applyAlignment="1">
      <alignment horizontal="center"/>
    </xf>
    <xf numFmtId="173" fontId="0" fillId="32" borderId="1" xfId="0" applyNumberFormat="1" applyFill="1" applyBorder="1" applyAlignment="1">
      <alignment horizontal="center"/>
    </xf>
    <xf numFmtId="173" fontId="1" fillId="18" borderId="1" xfId="0" applyNumberFormat="1" applyFont="1" applyFill="1" applyBorder="1"/>
    <xf numFmtId="0" fontId="6" fillId="9" borderId="0" xfId="1" applyFont="1" applyFill="1" applyBorder="1"/>
    <xf numFmtId="11" fontId="6" fillId="9" borderId="0" xfId="1" applyNumberFormat="1" applyFont="1" applyFill="1" applyBorder="1"/>
    <xf numFmtId="0" fontId="9" fillId="9" borderId="0" xfId="1" applyFont="1" applyFill="1" applyBorder="1" applyAlignment="1">
      <alignment horizontal="center" wrapText="1"/>
    </xf>
    <xf numFmtId="0" fontId="6" fillId="9" borderId="0" xfId="1" applyFont="1" applyFill="1" applyBorder="1" applyAlignment="1">
      <alignment wrapText="1"/>
    </xf>
    <xf numFmtId="2" fontId="8" fillId="9" borderId="0" xfId="1" applyNumberFormat="1" applyFont="1" applyFill="1" applyBorder="1" applyAlignment="1">
      <alignment horizontal="center"/>
    </xf>
    <xf numFmtId="11" fontId="6" fillId="9" borderId="0" xfId="1" applyNumberFormat="1" applyFont="1" applyFill="1" applyBorder="1" applyAlignment="1">
      <alignment horizontal="center"/>
    </xf>
    <xf numFmtId="168" fontId="6" fillId="9" borderId="0" xfId="1" applyNumberFormat="1" applyFont="1" applyFill="1" applyBorder="1" applyAlignment="1">
      <alignment horizontal="center"/>
    </xf>
    <xf numFmtId="0" fontId="6" fillId="9" borderId="0" xfId="1" applyFont="1" applyFill="1" applyBorder="1" applyAlignment="1">
      <alignment horizontal="center"/>
    </xf>
    <xf numFmtId="169" fontId="6" fillId="9" borderId="0" xfId="1" applyNumberFormat="1" applyFont="1" applyFill="1" applyBorder="1" applyAlignment="1" applyProtection="1">
      <alignment horizontal="center"/>
    </xf>
    <xf numFmtId="0" fontId="6" fillId="9" borderId="0" xfId="1" quotePrefix="1" applyFont="1" applyFill="1" applyBorder="1" applyAlignment="1">
      <alignment horizontal="left" wrapText="1"/>
    </xf>
    <xf numFmtId="0" fontId="6" fillId="9" borderId="0" xfId="1" applyFont="1" applyFill="1" applyBorder="1" applyAlignment="1" applyProtection="1">
      <alignment horizontal="center"/>
    </xf>
    <xf numFmtId="0" fontId="6" fillId="9" borderId="0" xfId="1" applyFont="1" applyFill="1" applyBorder="1" applyAlignment="1">
      <alignment horizontal="left" wrapText="1"/>
    </xf>
    <xf numFmtId="2" fontId="8" fillId="9" borderId="0" xfId="1" applyNumberFormat="1" applyFont="1" applyFill="1" applyBorder="1" applyAlignment="1">
      <alignment horizontal="center" vertical="top" wrapText="1"/>
    </xf>
    <xf numFmtId="11" fontId="6" fillId="9" borderId="0" xfId="1" applyNumberFormat="1" applyFont="1" applyFill="1" applyBorder="1" applyAlignment="1">
      <alignment horizontal="center" vertical="top" wrapText="1"/>
    </xf>
    <xf numFmtId="0" fontId="6" fillId="9" borderId="0" xfId="1" applyNumberFormat="1" applyFont="1" applyFill="1" applyBorder="1" applyAlignment="1"/>
    <xf numFmtId="2" fontId="6" fillId="9" borderId="0" xfId="1" applyNumberFormat="1" applyFont="1" applyFill="1" applyBorder="1" applyAlignment="1" applyProtection="1">
      <alignment horizontal="center"/>
    </xf>
    <xf numFmtId="2" fontId="8" fillId="9" borderId="0" xfId="1" applyNumberFormat="1" applyFont="1" applyFill="1" applyBorder="1" applyAlignment="1">
      <alignment horizontal="center" vertical="top"/>
    </xf>
    <xf numFmtId="2" fontId="6" fillId="9" borderId="0" xfId="1" applyNumberFormat="1" applyFont="1" applyFill="1" applyBorder="1" applyAlignment="1">
      <alignment horizontal="center"/>
    </xf>
    <xf numFmtId="170" fontId="6" fillId="9" borderId="0" xfId="1" applyNumberFormat="1" applyFont="1" applyFill="1" applyBorder="1" applyAlignment="1">
      <alignment horizontal="center"/>
    </xf>
    <xf numFmtId="171" fontId="6" fillId="9" borderId="0" xfId="1" applyNumberFormat="1" applyFont="1" applyFill="1" applyBorder="1" applyAlignment="1">
      <alignment horizontal="center"/>
    </xf>
    <xf numFmtId="170" fontId="6" fillId="9" borderId="0" xfId="1" applyNumberFormat="1" applyFont="1" applyFill="1" applyBorder="1"/>
    <xf numFmtId="166" fontId="1" fillId="10" borderId="0" xfId="0" applyNumberFormat="1" applyFont="1" applyFill="1" applyBorder="1" applyAlignment="1">
      <alignment horizontal="center"/>
    </xf>
    <xf numFmtId="1" fontId="1" fillId="10" borderId="0" xfId="0" applyNumberFormat="1" applyFont="1" applyFill="1" applyBorder="1" applyAlignment="1">
      <alignment horizontal="center"/>
    </xf>
    <xf numFmtId="164" fontId="1" fillId="10" borderId="1" xfId="0" applyNumberFormat="1" applyFont="1" applyFill="1" applyBorder="1" applyAlignment="1">
      <alignment horizontal="center"/>
    </xf>
    <xf numFmtId="172" fontId="1" fillId="10" borderId="1" xfId="0" applyNumberFormat="1" applyFont="1" applyFill="1" applyBorder="1" applyAlignment="1">
      <alignment horizontal="center"/>
    </xf>
    <xf numFmtId="173" fontId="1" fillId="11" borderId="0" xfId="0" applyNumberFormat="1" applyFont="1" applyFill="1" applyBorder="1" applyAlignment="1">
      <alignment horizontal="center"/>
    </xf>
    <xf numFmtId="2" fontId="1" fillId="10" borderId="0" xfId="0" applyNumberFormat="1" applyFont="1" applyFill="1" applyBorder="1" applyAlignment="1">
      <alignment horizontal="center"/>
    </xf>
    <xf numFmtId="173" fontId="1" fillId="11" borderId="0" xfId="0" applyNumberFormat="1" applyFont="1" applyFill="1" applyBorder="1"/>
    <xf numFmtId="0" fontId="6" fillId="0" borderId="0" xfId="1" applyFont="1" applyBorder="1"/>
    <xf numFmtId="0" fontId="6" fillId="0" borderId="0" xfId="1" applyFont="1" applyBorder="1" applyAlignment="1">
      <alignment horizontal="center"/>
    </xf>
    <xf numFmtId="171" fontId="6" fillId="0" borderId="0" xfId="1" applyNumberFormat="1" applyFont="1" applyBorder="1" applyAlignment="1">
      <alignment horizontal="center"/>
    </xf>
    <xf numFmtId="2" fontId="6" fillId="0" borderId="0" xfId="1" applyNumberFormat="1" applyFont="1" applyBorder="1" applyAlignment="1">
      <alignment horizontal="center"/>
    </xf>
    <xf numFmtId="171" fontId="6" fillId="0" borderId="0" xfId="1" applyNumberFormat="1" applyFont="1" applyBorder="1"/>
    <xf numFmtId="0" fontId="6" fillId="0" borderId="0" xfId="1" applyFont="1" applyFill="1"/>
    <xf numFmtId="169" fontId="6" fillId="0" borderId="0" xfId="1" applyNumberFormat="1" applyFont="1" applyFill="1" applyBorder="1" applyAlignment="1" applyProtection="1">
      <alignment horizontal="center"/>
    </xf>
    <xf numFmtId="0" fontId="6" fillId="0" borderId="0" xfId="1" applyFont="1" applyFill="1" applyBorder="1"/>
    <xf numFmtId="169" fontId="6" fillId="0" borderId="0" xfId="1" applyNumberFormat="1" applyFont="1" applyFill="1" applyProtection="1"/>
    <xf numFmtId="0" fontId="0" fillId="26" borderId="1" xfId="0" applyNumberFormat="1" applyFill="1" applyBorder="1"/>
    <xf numFmtId="0" fontId="22" fillId="9" borderId="0" xfId="0" applyFont="1" applyFill="1"/>
    <xf numFmtId="0" fontId="27" fillId="10" borderId="0" xfId="0" applyFont="1" applyFill="1"/>
    <xf numFmtId="0" fontId="28" fillId="0" borderId="1" xfId="0" applyFont="1" applyFill="1" applyBorder="1" applyAlignment="1">
      <alignment horizontal="center"/>
    </xf>
    <xf numFmtId="0" fontId="1" fillId="14" borderId="1" xfId="0" applyNumberFormat="1" applyFont="1" applyFill="1" applyBorder="1" applyAlignment="1" applyProtection="1">
      <alignment horizontal="center"/>
      <protection locked="0"/>
    </xf>
    <xf numFmtId="0" fontId="0" fillId="17" borderId="1" xfId="0" applyFill="1" applyBorder="1" applyAlignment="1">
      <alignment horizontal="center"/>
    </xf>
    <xf numFmtId="0" fontId="1" fillId="10" borderId="0" xfId="0" applyFont="1" applyFill="1" applyBorder="1" applyAlignment="1">
      <alignment horizontal="center"/>
    </xf>
    <xf numFmtId="0" fontId="27" fillId="10" borderId="0" xfId="0" applyFont="1" applyFill="1" applyBorder="1"/>
    <xf numFmtId="0" fontId="15" fillId="9" borderId="0" xfId="0" applyFont="1" applyFill="1" applyAlignment="1">
      <alignment wrapText="1"/>
    </xf>
    <xf numFmtId="0" fontId="0" fillId="9" borderId="0" xfId="0" applyFill="1" applyAlignment="1">
      <alignment wrapText="1"/>
    </xf>
    <xf numFmtId="0" fontId="21" fillId="22" borderId="4" xfId="0" applyFont="1" applyFill="1" applyBorder="1" applyAlignment="1"/>
    <xf numFmtId="165" fontId="1" fillId="10" borderId="1" xfId="0" applyNumberFormat="1" applyFont="1" applyFill="1" applyBorder="1" applyAlignment="1">
      <alignment horizontal="center"/>
    </xf>
    <xf numFmtId="0" fontId="15" fillId="9" borderId="0" xfId="0" applyFont="1" applyFill="1" applyAlignment="1">
      <alignment wrapText="1"/>
    </xf>
    <xf numFmtId="0" fontId="0" fillId="9" borderId="0" xfId="0" applyFill="1" applyAlignment="1">
      <alignment wrapText="1"/>
    </xf>
    <xf numFmtId="0" fontId="0" fillId="0" borderId="0" xfId="0" applyAlignment="1">
      <alignment wrapText="1"/>
    </xf>
    <xf numFmtId="0" fontId="30" fillId="33" borderId="7" xfId="0" applyFont="1" applyFill="1" applyBorder="1" applyAlignment="1">
      <alignment horizontal="center" wrapText="1"/>
    </xf>
    <xf numFmtId="0" fontId="30" fillId="33" borderId="8" xfId="0" applyFont="1" applyFill="1" applyBorder="1" applyAlignment="1">
      <alignment horizontal="center" wrapText="1"/>
    </xf>
    <xf numFmtId="0" fontId="30" fillId="33" borderId="9" xfId="0" applyFont="1" applyFill="1" applyBorder="1" applyAlignment="1">
      <alignment horizontal="center" wrapText="1"/>
    </xf>
    <xf numFmtId="0" fontId="0" fillId="5" borderId="20" xfId="0" applyFill="1" applyBorder="1" applyAlignment="1">
      <alignment horizontal="center" wrapText="1"/>
    </xf>
    <xf numFmtId="0" fontId="0" fillId="5" borderId="1" xfId="0" applyFill="1" applyBorder="1" applyAlignment="1">
      <alignment horizontal="center"/>
    </xf>
    <xf numFmtId="0" fontId="31" fillId="33" borderId="10"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31" fillId="33" borderId="6" xfId="0" applyFont="1" applyFill="1" applyBorder="1" applyAlignment="1">
      <alignment horizontal="center" vertical="center" wrapText="1"/>
    </xf>
    <xf numFmtId="0" fontId="31" fillId="33" borderId="17" xfId="0" applyFont="1" applyFill="1" applyBorder="1" applyAlignment="1">
      <alignment horizontal="center" vertical="center" wrapText="1"/>
    </xf>
    <xf numFmtId="0" fontId="31" fillId="33" borderId="18" xfId="0" applyFont="1" applyFill="1" applyBorder="1" applyAlignment="1">
      <alignment horizontal="center" vertical="center" wrapText="1"/>
    </xf>
    <xf numFmtId="0" fontId="31" fillId="33" borderId="19" xfId="0" applyFont="1" applyFill="1" applyBorder="1" applyAlignment="1">
      <alignment horizontal="center" vertical="center" wrapText="1"/>
    </xf>
    <xf numFmtId="0" fontId="16" fillId="5" borderId="20" xfId="0" applyFont="1" applyFill="1" applyBorder="1" applyAlignment="1">
      <alignment horizontal="center"/>
    </xf>
    <xf numFmtId="0" fontId="16" fillId="5" borderId="1" xfId="0" applyFont="1" applyFill="1" applyBorder="1" applyAlignment="1">
      <alignment horizontal="center"/>
    </xf>
    <xf numFmtId="0" fontId="21" fillId="13" borderId="5" xfId="0" applyFont="1" applyFill="1" applyBorder="1" applyAlignment="1" applyProtection="1">
      <alignment horizontal="center"/>
    </xf>
    <xf numFmtId="0" fontId="21" fillId="13" borderId="4" xfId="0" applyFont="1" applyFill="1" applyBorder="1" applyAlignment="1" applyProtection="1">
      <alignment horizontal="center"/>
    </xf>
    <xf numFmtId="0" fontId="1" fillId="10" borderId="0" xfId="0" applyFont="1" applyFill="1" applyAlignment="1">
      <alignment wrapText="1"/>
    </xf>
    <xf numFmtId="0" fontId="4" fillId="17" borderId="1" xfId="0" applyFont="1" applyFill="1" applyBorder="1" applyAlignment="1">
      <alignment horizontal="center"/>
    </xf>
    <xf numFmtId="0" fontId="21" fillId="30" borderId="11" xfId="0" applyFont="1" applyFill="1" applyBorder="1" applyAlignment="1">
      <alignment horizontal="center"/>
    </xf>
    <xf numFmtId="0" fontId="21" fillId="30" borderId="12" xfId="0" applyFont="1" applyFill="1" applyBorder="1" applyAlignment="1">
      <alignment horizontal="center"/>
    </xf>
    <xf numFmtId="0" fontId="21" fillId="30" borderId="13" xfId="0" applyFont="1" applyFill="1" applyBorder="1" applyAlignment="1">
      <alignment horizontal="center"/>
    </xf>
    <xf numFmtId="0" fontId="4" fillId="10" borderId="0" xfId="0" applyFont="1" applyFill="1" applyAlignment="1">
      <alignment wrapText="1"/>
    </xf>
    <xf numFmtId="0" fontId="0" fillId="10" borderId="4" xfId="0" applyFill="1" applyBorder="1" applyAlignment="1">
      <alignment horizontal="center"/>
    </xf>
    <xf numFmtId="0" fontId="21" fillId="22" borderId="4" xfId="0" applyFont="1" applyFill="1" applyBorder="1" applyAlignment="1">
      <alignment horizontal="center"/>
    </xf>
    <xf numFmtId="0" fontId="22" fillId="10" borderId="4" xfId="0" applyFont="1" applyFill="1" applyBorder="1" applyAlignment="1">
      <alignment horizontal="center"/>
    </xf>
    <xf numFmtId="0" fontId="1" fillId="24" borderId="1" xfId="0" applyFont="1" applyFill="1" applyBorder="1" applyAlignment="1">
      <alignment horizontal="center"/>
    </xf>
    <xf numFmtId="0" fontId="1" fillId="10" borderId="0" xfId="0" applyFont="1" applyFill="1" applyBorder="1" applyAlignment="1">
      <alignment horizontal="center"/>
    </xf>
    <xf numFmtId="0" fontId="21" fillId="0" borderId="0" xfId="0" applyFont="1" applyFill="1" applyBorder="1" applyAlignment="1" applyProtection="1">
      <alignment horizontal="center"/>
    </xf>
    <xf numFmtId="0" fontId="22" fillId="0" borderId="0" xfId="0" applyFont="1" applyFill="1" applyBorder="1" applyAlignment="1">
      <alignment horizontal="center"/>
    </xf>
    <xf numFmtId="0" fontId="26" fillId="9" borderId="0" xfId="1" applyFont="1" applyFill="1" applyBorder="1" applyAlignment="1">
      <alignment horizontal="center"/>
    </xf>
    <xf numFmtId="0" fontId="6" fillId="0" borderId="6" xfId="1" applyFont="1" applyBorder="1" applyAlignment="1">
      <alignment horizontal="left"/>
    </xf>
    <xf numFmtId="0" fontId="0" fillId="0" borderId="0" xfId="0" applyAlignment="1">
      <alignment horizontal="left"/>
    </xf>
    <xf numFmtId="0" fontId="0" fillId="0" borderId="0" xfId="0" applyAlignment="1"/>
    <xf numFmtId="0" fontId="6" fillId="0" borderId="0" xfId="1" applyFont="1" applyBorder="1" applyAlignment="1">
      <alignment horizontal="left" wrapText="1"/>
    </xf>
    <xf numFmtId="0" fontId="11" fillId="25" borderId="7" xfId="1" applyFont="1" applyFill="1" applyBorder="1" applyAlignment="1">
      <alignment horizontal="center"/>
    </xf>
    <xf numFmtId="0" fontId="11" fillId="25" borderId="8" xfId="1" applyFont="1" applyFill="1" applyBorder="1" applyAlignment="1">
      <alignment horizontal="center"/>
    </xf>
    <xf numFmtId="0" fontId="11" fillId="25" borderId="9" xfId="1" applyFont="1" applyFill="1" applyBorder="1" applyAlignment="1">
      <alignment horizontal="center"/>
    </xf>
  </cellXfs>
  <cellStyles count="2">
    <cellStyle name="Normal" xfId="0" builtinId="0"/>
    <cellStyle name="Normal_Chemprp8" xfId="1"/>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10</xdr:row>
      <xdr:rowOff>95249</xdr:rowOff>
    </xdr:from>
    <xdr:to>
      <xdr:col>2</xdr:col>
      <xdr:colOff>152400</xdr:colOff>
      <xdr:row>15</xdr:row>
      <xdr:rowOff>0</xdr:rowOff>
    </xdr:to>
    <xdr:sp macro="" textlink="">
      <xdr:nvSpPr>
        <xdr:cNvPr id="2" name="Rounded Rectangle 1"/>
        <xdr:cNvSpPr/>
      </xdr:nvSpPr>
      <xdr:spPr>
        <a:xfrm>
          <a:off x="228600" y="876299"/>
          <a:ext cx="1143000" cy="714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Process Wastewater</a:t>
          </a:r>
        </a:p>
      </xdr:txBody>
    </xdr:sp>
    <xdr:clientData/>
  </xdr:twoCellAnchor>
  <xdr:twoCellAnchor>
    <xdr:from>
      <xdr:col>4</xdr:col>
      <xdr:colOff>476250</xdr:colOff>
      <xdr:row>10</xdr:row>
      <xdr:rowOff>19050</xdr:rowOff>
    </xdr:from>
    <xdr:to>
      <xdr:col>6</xdr:col>
      <xdr:colOff>542925</xdr:colOff>
      <xdr:row>15</xdr:row>
      <xdr:rowOff>76200</xdr:rowOff>
    </xdr:to>
    <xdr:sp macro="" textlink="">
      <xdr:nvSpPr>
        <xdr:cNvPr id="3" name="Rectangle 2"/>
        <xdr:cNvSpPr/>
      </xdr:nvSpPr>
      <xdr:spPr>
        <a:xfrm>
          <a:off x="2914650" y="800100"/>
          <a:ext cx="1285875" cy="923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Collection System</a:t>
          </a:r>
        </a:p>
        <a:p>
          <a:pPr algn="ctr"/>
          <a:r>
            <a:rPr lang="en-US" sz="1100"/>
            <a:t>(weirs,</a:t>
          </a:r>
          <a:r>
            <a:rPr lang="en-US" sz="1100" baseline="0"/>
            <a:t> junction boxes, lift stations &amp; sumps)</a:t>
          </a:r>
          <a:endParaRPr lang="en-US" sz="1100"/>
        </a:p>
      </xdr:txBody>
    </xdr:sp>
    <xdr:clientData/>
  </xdr:twoCellAnchor>
  <xdr:twoCellAnchor>
    <xdr:from>
      <xdr:col>10</xdr:col>
      <xdr:colOff>542925</xdr:colOff>
      <xdr:row>10</xdr:row>
      <xdr:rowOff>95250</xdr:rowOff>
    </xdr:from>
    <xdr:to>
      <xdr:col>13</xdr:col>
      <xdr:colOff>19050</xdr:colOff>
      <xdr:row>15</xdr:row>
      <xdr:rowOff>9525</xdr:rowOff>
    </xdr:to>
    <xdr:sp macro="" textlink="">
      <xdr:nvSpPr>
        <xdr:cNvPr id="4" name="Rectangle 3"/>
        <xdr:cNvSpPr/>
      </xdr:nvSpPr>
      <xdr:spPr>
        <a:xfrm>
          <a:off x="6638925" y="876300"/>
          <a:ext cx="1304925" cy="78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Oil-water Separators</a:t>
          </a:r>
        </a:p>
      </xdr:txBody>
    </xdr:sp>
    <xdr:clientData/>
  </xdr:twoCellAnchor>
  <xdr:twoCellAnchor>
    <xdr:from>
      <xdr:col>0</xdr:col>
      <xdr:colOff>95250</xdr:colOff>
      <xdr:row>22</xdr:row>
      <xdr:rowOff>104775</xdr:rowOff>
    </xdr:from>
    <xdr:to>
      <xdr:col>2</xdr:col>
      <xdr:colOff>171450</xdr:colOff>
      <xdr:row>27</xdr:row>
      <xdr:rowOff>76200</xdr:rowOff>
    </xdr:to>
    <xdr:sp macro="" textlink="">
      <xdr:nvSpPr>
        <xdr:cNvPr id="5" name="Rectangle 4"/>
        <xdr:cNvSpPr/>
      </xdr:nvSpPr>
      <xdr:spPr>
        <a:xfrm>
          <a:off x="95250" y="3019425"/>
          <a:ext cx="1295400" cy="781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Dissolved Air Floatation Units</a:t>
          </a:r>
        </a:p>
      </xdr:txBody>
    </xdr:sp>
    <xdr:clientData/>
  </xdr:twoCellAnchor>
  <xdr:twoCellAnchor>
    <xdr:from>
      <xdr:col>4</xdr:col>
      <xdr:colOff>152400</xdr:colOff>
      <xdr:row>22</xdr:row>
      <xdr:rowOff>114300</xdr:rowOff>
    </xdr:from>
    <xdr:to>
      <xdr:col>6</xdr:col>
      <xdr:colOff>238125</xdr:colOff>
      <xdr:row>27</xdr:row>
      <xdr:rowOff>95250</xdr:rowOff>
    </xdr:to>
    <xdr:sp macro="" textlink="">
      <xdr:nvSpPr>
        <xdr:cNvPr id="6" name="Rectangle 5"/>
        <xdr:cNvSpPr/>
      </xdr:nvSpPr>
      <xdr:spPr>
        <a:xfrm>
          <a:off x="2590800" y="3028950"/>
          <a:ext cx="1304925" cy="79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Equalization</a:t>
          </a:r>
          <a:r>
            <a:rPr lang="en-US" sz="1100" baseline="0"/>
            <a:t> Tanks</a:t>
          </a:r>
          <a:endParaRPr lang="en-US" sz="1100"/>
        </a:p>
      </xdr:txBody>
    </xdr:sp>
    <xdr:clientData/>
  </xdr:twoCellAnchor>
  <xdr:twoCellAnchor>
    <xdr:from>
      <xdr:col>8</xdr:col>
      <xdr:colOff>28576</xdr:colOff>
      <xdr:row>22</xdr:row>
      <xdr:rowOff>104775</xdr:rowOff>
    </xdr:from>
    <xdr:to>
      <xdr:col>10</xdr:col>
      <xdr:colOff>114300</xdr:colOff>
      <xdr:row>27</xdr:row>
      <xdr:rowOff>123825</xdr:rowOff>
    </xdr:to>
    <xdr:sp macro="" textlink="">
      <xdr:nvSpPr>
        <xdr:cNvPr id="7" name="Rectangle 6"/>
        <xdr:cNvSpPr/>
      </xdr:nvSpPr>
      <xdr:spPr>
        <a:xfrm>
          <a:off x="4905376" y="3019425"/>
          <a:ext cx="1304924" cy="828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Biological Treatment Units</a:t>
          </a:r>
        </a:p>
      </xdr:txBody>
    </xdr:sp>
    <xdr:clientData/>
  </xdr:twoCellAnchor>
  <xdr:twoCellAnchor>
    <xdr:from>
      <xdr:col>2</xdr:col>
      <xdr:colOff>152400</xdr:colOff>
      <xdr:row>12</xdr:row>
      <xdr:rowOff>157162</xdr:rowOff>
    </xdr:from>
    <xdr:to>
      <xdr:col>4</xdr:col>
      <xdr:colOff>476250</xdr:colOff>
      <xdr:row>12</xdr:row>
      <xdr:rowOff>157163</xdr:rowOff>
    </xdr:to>
    <xdr:cxnSp macro="">
      <xdr:nvCxnSpPr>
        <xdr:cNvPr id="11" name="Straight Arrow Connector 10"/>
        <xdr:cNvCxnSpPr>
          <a:stCxn id="2" idx="3"/>
          <a:endCxn id="3" idx="1"/>
        </xdr:cNvCxnSpPr>
      </xdr:nvCxnSpPr>
      <xdr:spPr>
        <a:xfrm>
          <a:off x="1371600" y="1262062"/>
          <a:ext cx="15430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12</xdr:row>
      <xdr:rowOff>157163</xdr:rowOff>
    </xdr:from>
    <xdr:to>
      <xdr:col>10</xdr:col>
      <xdr:colOff>542925</xdr:colOff>
      <xdr:row>13</xdr:row>
      <xdr:rowOff>0</xdr:rowOff>
    </xdr:to>
    <xdr:cxnSp macro="">
      <xdr:nvCxnSpPr>
        <xdr:cNvPr id="13" name="Straight Arrow Connector 12"/>
        <xdr:cNvCxnSpPr>
          <a:stCxn id="3" idx="3"/>
          <a:endCxn id="4" idx="1"/>
        </xdr:cNvCxnSpPr>
      </xdr:nvCxnSpPr>
      <xdr:spPr>
        <a:xfrm>
          <a:off x="4200525" y="1262063"/>
          <a:ext cx="243840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13</xdr:row>
      <xdr:rowOff>0</xdr:rowOff>
    </xdr:from>
    <xdr:to>
      <xdr:col>13</xdr:col>
      <xdr:colOff>19050</xdr:colOff>
      <xdr:row>22</xdr:row>
      <xdr:rowOff>104775</xdr:rowOff>
    </xdr:to>
    <xdr:cxnSp macro="">
      <xdr:nvCxnSpPr>
        <xdr:cNvPr id="17" name="Elbow Connector 16"/>
        <xdr:cNvCxnSpPr>
          <a:stCxn id="4" idx="3"/>
          <a:endCxn id="5" idx="0"/>
        </xdr:cNvCxnSpPr>
      </xdr:nvCxnSpPr>
      <xdr:spPr>
        <a:xfrm flipH="1">
          <a:off x="742950" y="1400175"/>
          <a:ext cx="7200900" cy="1619250"/>
        </a:xfrm>
        <a:prstGeom prst="bentConnector4">
          <a:avLst>
            <a:gd name="adj1" fmla="val -3175"/>
            <a:gd name="adj2" fmla="val 6205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25</xdr:row>
      <xdr:rowOff>9525</xdr:rowOff>
    </xdr:from>
    <xdr:to>
      <xdr:col>4</xdr:col>
      <xdr:colOff>152400</xdr:colOff>
      <xdr:row>25</xdr:row>
      <xdr:rowOff>23813</xdr:rowOff>
    </xdr:to>
    <xdr:cxnSp macro="">
      <xdr:nvCxnSpPr>
        <xdr:cNvPr id="23" name="Straight Arrow Connector 22"/>
        <xdr:cNvCxnSpPr>
          <a:stCxn id="5" idx="3"/>
          <a:endCxn id="6" idx="1"/>
        </xdr:cNvCxnSpPr>
      </xdr:nvCxnSpPr>
      <xdr:spPr>
        <a:xfrm>
          <a:off x="1390650" y="3409950"/>
          <a:ext cx="1200150"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25</xdr:row>
      <xdr:rowOff>23813</xdr:rowOff>
    </xdr:from>
    <xdr:to>
      <xdr:col>8</xdr:col>
      <xdr:colOff>28576</xdr:colOff>
      <xdr:row>25</xdr:row>
      <xdr:rowOff>33338</xdr:rowOff>
    </xdr:to>
    <xdr:cxnSp macro="">
      <xdr:nvCxnSpPr>
        <xdr:cNvPr id="25" name="Straight Arrow Connector 24"/>
        <xdr:cNvCxnSpPr>
          <a:stCxn id="6" idx="3"/>
          <a:endCxn id="7" idx="1"/>
        </xdr:cNvCxnSpPr>
      </xdr:nvCxnSpPr>
      <xdr:spPr>
        <a:xfrm>
          <a:off x="3895725" y="3424238"/>
          <a:ext cx="1009651"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25</xdr:row>
      <xdr:rowOff>33338</xdr:rowOff>
    </xdr:from>
    <xdr:to>
      <xdr:col>11</xdr:col>
      <xdr:colOff>314325</xdr:colOff>
      <xdr:row>25</xdr:row>
      <xdr:rowOff>38100</xdr:rowOff>
    </xdr:to>
    <xdr:cxnSp macro="">
      <xdr:nvCxnSpPr>
        <xdr:cNvPr id="27" name="Straight Arrow Connector 26"/>
        <xdr:cNvCxnSpPr/>
      </xdr:nvCxnSpPr>
      <xdr:spPr>
        <a:xfrm>
          <a:off x="6200775" y="3433763"/>
          <a:ext cx="81915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195262</xdr:colOff>
      <xdr:row>21</xdr:row>
      <xdr:rowOff>61914</xdr:rowOff>
    </xdr:from>
    <xdr:to>
      <xdr:col>5</xdr:col>
      <xdr:colOff>552449</xdr:colOff>
      <xdr:row>22</xdr:row>
      <xdr:rowOff>114301</xdr:rowOff>
    </xdr:to>
    <xdr:cxnSp macro="">
      <xdr:nvCxnSpPr>
        <xdr:cNvPr id="29" name="Shape 28"/>
        <xdr:cNvCxnSpPr>
          <a:stCxn id="6" idx="0"/>
          <a:endCxn id="41" idx="1"/>
        </xdr:cNvCxnSpPr>
      </xdr:nvCxnSpPr>
      <xdr:spPr>
        <a:xfrm rot="5400000" flipH="1" flipV="1">
          <a:off x="3314700" y="2743201"/>
          <a:ext cx="214312" cy="3571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71438</xdr:colOff>
      <xdr:row>21</xdr:row>
      <xdr:rowOff>42864</xdr:rowOff>
    </xdr:from>
    <xdr:to>
      <xdr:col>9</xdr:col>
      <xdr:colOff>600075</xdr:colOff>
      <xdr:row>22</xdr:row>
      <xdr:rowOff>104776</xdr:rowOff>
    </xdr:to>
    <xdr:cxnSp macro="">
      <xdr:nvCxnSpPr>
        <xdr:cNvPr id="31" name="Shape 30"/>
        <xdr:cNvCxnSpPr>
          <a:stCxn id="7" idx="0"/>
          <a:endCxn id="39" idx="1"/>
        </xdr:cNvCxnSpPr>
      </xdr:nvCxnSpPr>
      <xdr:spPr>
        <a:xfrm rot="5400000" flipH="1" flipV="1">
          <a:off x="5710238" y="2643189"/>
          <a:ext cx="223837" cy="5286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7</xdr:row>
      <xdr:rowOff>66675</xdr:rowOff>
    </xdr:from>
    <xdr:to>
      <xdr:col>7</xdr:col>
      <xdr:colOff>485775</xdr:colOff>
      <xdr:row>9</xdr:row>
      <xdr:rowOff>19050</xdr:rowOff>
    </xdr:to>
    <xdr:sp macro="" textlink="">
      <xdr:nvSpPr>
        <xdr:cNvPr id="37" name="Rectangle 36"/>
        <xdr:cNvSpPr/>
      </xdr:nvSpPr>
      <xdr:spPr>
        <a:xfrm>
          <a:off x="4295775" y="1981200"/>
          <a:ext cx="1190625" cy="33337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12</xdr:col>
      <xdr:colOff>285750</xdr:colOff>
      <xdr:row>7</xdr:row>
      <xdr:rowOff>123825</xdr:rowOff>
    </xdr:from>
    <xdr:to>
      <xdr:col>14</xdr:col>
      <xdr:colOff>152400</xdr:colOff>
      <xdr:row>9</xdr:row>
      <xdr:rowOff>76200</xdr:rowOff>
    </xdr:to>
    <xdr:sp macro="" textlink="">
      <xdr:nvSpPr>
        <xdr:cNvPr id="38" name="Rectangle 37"/>
        <xdr:cNvSpPr/>
      </xdr:nvSpPr>
      <xdr:spPr>
        <a:xfrm>
          <a:off x="7600950" y="552450"/>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9</xdr:col>
      <xdr:colOff>600075</xdr:colOff>
      <xdr:row>20</xdr:row>
      <xdr:rowOff>66675</xdr:rowOff>
    </xdr:from>
    <xdr:to>
      <xdr:col>11</xdr:col>
      <xdr:colOff>466725</xdr:colOff>
      <xdr:row>22</xdr:row>
      <xdr:rowOff>19050</xdr:rowOff>
    </xdr:to>
    <xdr:sp macro="" textlink="">
      <xdr:nvSpPr>
        <xdr:cNvPr id="39" name="Rectangle 38"/>
        <xdr:cNvSpPr/>
      </xdr:nvSpPr>
      <xdr:spPr>
        <a:xfrm>
          <a:off x="6086475" y="2657475"/>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5</xdr:col>
      <xdr:colOff>552450</xdr:colOff>
      <xdr:row>20</xdr:row>
      <xdr:rowOff>85725</xdr:rowOff>
    </xdr:from>
    <xdr:to>
      <xdr:col>7</xdr:col>
      <xdr:colOff>419100</xdr:colOff>
      <xdr:row>22</xdr:row>
      <xdr:rowOff>38100</xdr:rowOff>
    </xdr:to>
    <xdr:sp macro="" textlink="">
      <xdr:nvSpPr>
        <xdr:cNvPr id="41" name="Rectangle 40"/>
        <xdr:cNvSpPr/>
      </xdr:nvSpPr>
      <xdr:spPr>
        <a:xfrm>
          <a:off x="3600450" y="2676525"/>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2</xdr:col>
      <xdr:colOff>200025</xdr:colOff>
      <xdr:row>20</xdr:row>
      <xdr:rowOff>0</xdr:rowOff>
    </xdr:from>
    <xdr:to>
      <xdr:col>4</xdr:col>
      <xdr:colOff>66675</xdr:colOff>
      <xdr:row>21</xdr:row>
      <xdr:rowOff>114300</xdr:rowOff>
    </xdr:to>
    <xdr:sp macro="" textlink="">
      <xdr:nvSpPr>
        <xdr:cNvPr id="42" name="Rectangle 41"/>
        <xdr:cNvSpPr/>
      </xdr:nvSpPr>
      <xdr:spPr>
        <a:xfrm>
          <a:off x="1419225" y="2590800"/>
          <a:ext cx="1085850" cy="27622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lang="en-US" sz="1100"/>
            <a:t>Air</a:t>
          </a:r>
          <a:r>
            <a:rPr lang="en-US" sz="1100" baseline="0"/>
            <a:t> Emissions</a:t>
          </a:r>
          <a:endParaRPr lang="en-US" sz="1100"/>
        </a:p>
      </xdr:txBody>
    </xdr:sp>
    <xdr:clientData/>
  </xdr:twoCellAnchor>
  <xdr:twoCellAnchor>
    <xdr:from>
      <xdr:col>5</xdr:col>
      <xdr:colOff>133350</xdr:colOff>
      <xdr:row>8</xdr:row>
      <xdr:rowOff>42863</xdr:rowOff>
    </xdr:from>
    <xdr:to>
      <xdr:col>6</xdr:col>
      <xdr:colOff>9525</xdr:colOff>
      <xdr:row>10</xdr:row>
      <xdr:rowOff>0</xdr:rowOff>
    </xdr:to>
    <xdr:cxnSp macro="">
      <xdr:nvCxnSpPr>
        <xdr:cNvPr id="49" name="Elbow Connector 48"/>
        <xdr:cNvCxnSpPr>
          <a:endCxn id="37" idx="1"/>
        </xdr:cNvCxnSpPr>
      </xdr:nvCxnSpPr>
      <xdr:spPr>
        <a:xfrm flipV="1">
          <a:off x="3705225" y="2147888"/>
          <a:ext cx="590550" cy="3381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238125</xdr:colOff>
      <xdr:row>8</xdr:row>
      <xdr:rowOff>100013</xdr:rowOff>
    </xdr:from>
    <xdr:to>
      <xdr:col>12</xdr:col>
      <xdr:colOff>285750</xdr:colOff>
      <xdr:row>10</xdr:row>
      <xdr:rowOff>104775</xdr:rowOff>
    </xdr:to>
    <xdr:cxnSp macro="">
      <xdr:nvCxnSpPr>
        <xdr:cNvPr id="51" name="Elbow Connector 50"/>
        <xdr:cNvCxnSpPr>
          <a:endCxn id="38" idx="1"/>
        </xdr:cNvCxnSpPr>
      </xdr:nvCxnSpPr>
      <xdr:spPr>
        <a:xfrm flipV="1">
          <a:off x="6943725" y="690563"/>
          <a:ext cx="657225" cy="3286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20</xdr:row>
      <xdr:rowOff>138113</xdr:rowOff>
    </xdr:from>
    <xdr:to>
      <xdr:col>2</xdr:col>
      <xdr:colOff>200025</xdr:colOff>
      <xdr:row>22</xdr:row>
      <xdr:rowOff>104775</xdr:rowOff>
    </xdr:to>
    <xdr:cxnSp macro="">
      <xdr:nvCxnSpPr>
        <xdr:cNvPr id="53" name="Elbow Connector 52"/>
        <xdr:cNvCxnSpPr>
          <a:endCxn id="42" idx="1"/>
        </xdr:cNvCxnSpPr>
      </xdr:nvCxnSpPr>
      <xdr:spPr>
        <a:xfrm flipV="1">
          <a:off x="1009650" y="2728913"/>
          <a:ext cx="409575" cy="29051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542926</xdr:colOff>
      <xdr:row>15</xdr:row>
      <xdr:rowOff>123825</xdr:rowOff>
    </xdr:from>
    <xdr:to>
      <xdr:col>11</xdr:col>
      <xdr:colOff>285750</xdr:colOff>
      <xdr:row>17</xdr:row>
      <xdr:rowOff>85725</xdr:rowOff>
    </xdr:to>
    <xdr:sp macro="" textlink="">
      <xdr:nvSpPr>
        <xdr:cNvPr id="56" name="Rectangle 55"/>
        <xdr:cNvSpPr/>
      </xdr:nvSpPr>
      <xdr:spPr>
        <a:xfrm>
          <a:off x="6029326" y="1905000"/>
          <a:ext cx="962024"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Slop</a:t>
          </a:r>
          <a:r>
            <a:rPr lang="en-US" sz="1100" baseline="0"/>
            <a:t> Oil</a:t>
          </a:r>
          <a:endParaRPr lang="en-US" sz="1100"/>
        </a:p>
      </xdr:txBody>
    </xdr:sp>
    <xdr:clientData/>
  </xdr:twoCellAnchor>
  <xdr:twoCellAnchor>
    <xdr:from>
      <xdr:col>7</xdr:col>
      <xdr:colOff>200025</xdr:colOff>
      <xdr:row>28</xdr:row>
      <xdr:rowOff>133350</xdr:rowOff>
    </xdr:from>
    <xdr:to>
      <xdr:col>8</xdr:col>
      <xdr:colOff>552449</xdr:colOff>
      <xdr:row>30</xdr:row>
      <xdr:rowOff>95250</xdr:rowOff>
    </xdr:to>
    <xdr:sp macro="" textlink="">
      <xdr:nvSpPr>
        <xdr:cNvPr id="57" name="Rectangle 56"/>
        <xdr:cNvSpPr/>
      </xdr:nvSpPr>
      <xdr:spPr>
        <a:xfrm>
          <a:off x="4467225" y="4019550"/>
          <a:ext cx="962024"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Biosolids</a:t>
          </a:r>
        </a:p>
      </xdr:txBody>
    </xdr:sp>
    <xdr:clientData/>
  </xdr:twoCellAnchor>
  <xdr:twoCellAnchor>
    <xdr:from>
      <xdr:col>1</xdr:col>
      <xdr:colOff>514350</xdr:colOff>
      <xdr:row>28</xdr:row>
      <xdr:rowOff>95250</xdr:rowOff>
    </xdr:from>
    <xdr:to>
      <xdr:col>3</xdr:col>
      <xdr:colOff>257174</xdr:colOff>
      <xdr:row>30</xdr:row>
      <xdr:rowOff>57150</xdr:rowOff>
    </xdr:to>
    <xdr:sp macro="" textlink="">
      <xdr:nvSpPr>
        <xdr:cNvPr id="58" name="Rectangle 57"/>
        <xdr:cNvSpPr/>
      </xdr:nvSpPr>
      <xdr:spPr>
        <a:xfrm>
          <a:off x="1123950" y="3981450"/>
          <a:ext cx="962024" cy="2857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en-US" sz="1100"/>
            <a:t>Float</a:t>
          </a:r>
        </a:p>
      </xdr:txBody>
    </xdr:sp>
    <xdr:clientData/>
  </xdr:twoCellAnchor>
  <xdr:twoCellAnchor>
    <xdr:from>
      <xdr:col>11</xdr:col>
      <xdr:colOff>285751</xdr:colOff>
      <xdr:row>15</xdr:row>
      <xdr:rowOff>9524</xdr:rowOff>
    </xdr:from>
    <xdr:to>
      <xdr:col>11</xdr:col>
      <xdr:colOff>585789</xdr:colOff>
      <xdr:row>16</xdr:row>
      <xdr:rowOff>104774</xdr:rowOff>
    </xdr:to>
    <xdr:cxnSp macro="">
      <xdr:nvCxnSpPr>
        <xdr:cNvPr id="61" name="Elbow Connector 60"/>
        <xdr:cNvCxnSpPr>
          <a:stCxn id="4" idx="2"/>
          <a:endCxn id="56" idx="3"/>
        </xdr:cNvCxnSpPr>
      </xdr:nvCxnSpPr>
      <xdr:spPr>
        <a:xfrm rot="5400000">
          <a:off x="7012782" y="1769268"/>
          <a:ext cx="257175" cy="3000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27</xdr:row>
      <xdr:rowOff>76200</xdr:rowOff>
    </xdr:from>
    <xdr:to>
      <xdr:col>1</xdr:col>
      <xdr:colOff>514350</xdr:colOff>
      <xdr:row>29</xdr:row>
      <xdr:rowOff>76200</xdr:rowOff>
    </xdr:to>
    <xdr:cxnSp macro="">
      <xdr:nvCxnSpPr>
        <xdr:cNvPr id="64" name="Shape 63"/>
        <xdr:cNvCxnSpPr>
          <a:stCxn id="5" idx="2"/>
          <a:endCxn id="58" idx="1"/>
        </xdr:cNvCxnSpPr>
      </xdr:nvCxnSpPr>
      <xdr:spPr>
        <a:xfrm rot="16200000" flipH="1">
          <a:off x="771525" y="3771900"/>
          <a:ext cx="323850" cy="381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552450</xdr:colOff>
      <xdr:row>27</xdr:row>
      <xdr:rowOff>123825</xdr:rowOff>
    </xdr:from>
    <xdr:to>
      <xdr:col>9</xdr:col>
      <xdr:colOff>71439</xdr:colOff>
      <xdr:row>29</xdr:row>
      <xdr:rowOff>114300</xdr:rowOff>
    </xdr:to>
    <xdr:cxnSp macro="">
      <xdr:nvCxnSpPr>
        <xdr:cNvPr id="66" name="Shape 65"/>
        <xdr:cNvCxnSpPr>
          <a:stCxn id="7" idx="2"/>
          <a:endCxn id="57" idx="3"/>
        </xdr:cNvCxnSpPr>
      </xdr:nvCxnSpPr>
      <xdr:spPr>
        <a:xfrm rot="5400000">
          <a:off x="5336382" y="3940968"/>
          <a:ext cx="314325" cy="1285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314326</xdr:colOff>
      <xdr:row>23</xdr:row>
      <xdr:rowOff>114301</xdr:rowOff>
    </xdr:from>
    <xdr:to>
      <xdr:col>13</xdr:col>
      <xdr:colOff>238126</xdr:colOff>
      <xdr:row>26</xdr:row>
      <xdr:rowOff>142876</xdr:rowOff>
    </xdr:to>
    <xdr:sp macro="" textlink="">
      <xdr:nvSpPr>
        <xdr:cNvPr id="76" name="Rounded Rectangle 75"/>
        <xdr:cNvSpPr/>
      </xdr:nvSpPr>
      <xdr:spPr>
        <a:xfrm>
          <a:off x="7019926" y="3190876"/>
          <a:ext cx="1143000" cy="514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Treated effluent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42"/>
  <sheetViews>
    <sheetView tabSelected="1" workbookViewId="0">
      <selection activeCell="E6" sqref="E6:G6"/>
    </sheetView>
  </sheetViews>
  <sheetFormatPr defaultRowHeight="12.75"/>
  <cols>
    <col min="1" max="10" width="10.7109375" style="53" customWidth="1"/>
    <col min="11" max="11" width="11.140625" style="53" customWidth="1"/>
    <col min="12" max="12" width="10.140625" style="53" customWidth="1"/>
    <col min="13" max="14" width="10.42578125" style="53" customWidth="1"/>
    <col min="15" max="16" width="11.28515625" style="53" customWidth="1"/>
    <col min="17" max="17" width="12.42578125" style="53" customWidth="1"/>
    <col min="18" max="16384" width="9.140625" style="53"/>
  </cols>
  <sheetData>
    <row r="1" spans="1:21" ht="33.75">
      <c r="A1" s="137" t="s">
        <v>272</v>
      </c>
    </row>
    <row r="2" spans="1:21" ht="13.5" customHeight="1">
      <c r="A2" s="137"/>
    </row>
    <row r="3" spans="1:21" ht="13.5" customHeight="1">
      <c r="A3" s="285" t="s">
        <v>285</v>
      </c>
      <c r="B3" s="286"/>
      <c r="C3" s="286"/>
      <c r="D3" s="286"/>
      <c r="E3" s="286"/>
      <c r="F3" s="286"/>
      <c r="G3" s="286"/>
      <c r="H3" s="286"/>
      <c r="I3" s="286"/>
      <c r="J3" s="287"/>
      <c r="O3" s="290" t="s">
        <v>281</v>
      </c>
      <c r="P3" s="291"/>
    </row>
    <row r="4" spans="1:21" ht="13.5" customHeight="1">
      <c r="A4" s="138"/>
      <c r="C4" s="296" t="s">
        <v>280</v>
      </c>
      <c r="D4" s="296"/>
      <c r="E4" s="288"/>
      <c r="F4" s="288"/>
      <c r="G4" s="288"/>
      <c r="J4" s="139" t="s">
        <v>161</v>
      </c>
      <c r="O4" s="292" t="s">
        <v>282</v>
      </c>
      <c r="P4" s="293"/>
    </row>
    <row r="5" spans="1:21" ht="13.5" customHeight="1">
      <c r="A5" s="138"/>
      <c r="C5" s="297" t="s">
        <v>279</v>
      </c>
      <c r="D5" s="297"/>
      <c r="E5" s="289"/>
      <c r="F5" s="289"/>
      <c r="G5" s="289"/>
      <c r="J5" s="139"/>
      <c r="O5" s="294" t="s">
        <v>283</v>
      </c>
      <c r="P5" s="295"/>
    </row>
    <row r="6" spans="1:21" ht="15.75">
      <c r="C6" s="297" t="s">
        <v>284</v>
      </c>
      <c r="D6" s="297"/>
      <c r="E6" s="289"/>
      <c r="F6" s="289"/>
      <c r="G6" s="289"/>
    </row>
    <row r="7" spans="1:21" ht="15.75">
      <c r="A7" s="138"/>
      <c r="J7" s="139"/>
      <c r="K7" s="139"/>
      <c r="L7" s="139"/>
    </row>
    <row r="8" spans="1:21" ht="15" customHeight="1">
      <c r="A8" s="117"/>
    </row>
    <row r="9" spans="1:21" ht="15" customHeight="1"/>
    <row r="10" spans="1:21" ht="15" customHeight="1"/>
    <row r="11" spans="1:21" ht="15" customHeight="1"/>
    <row r="12" spans="1:21" ht="15" customHeight="1"/>
    <row r="13" spans="1:21" ht="15" customHeight="1"/>
    <row r="14" spans="1:21" ht="15" customHeight="1">
      <c r="F14" s="136" t="s">
        <v>160</v>
      </c>
    </row>
    <row r="15" spans="1:21" ht="15" customHeight="1">
      <c r="F15" s="136"/>
    </row>
    <row r="16" spans="1:21" ht="15" customHeight="1">
      <c r="T16" s="271" t="s">
        <v>271</v>
      </c>
      <c r="U16" s="271"/>
    </row>
    <row r="17" spans="1:21" ht="15" customHeight="1">
      <c r="T17" s="271">
        <v>0.1</v>
      </c>
      <c r="U17" s="271" t="s">
        <v>0</v>
      </c>
    </row>
    <row r="18" spans="1:21" ht="15" customHeight="1"/>
    <row r="19" spans="1:21" ht="15" customHeight="1"/>
    <row r="20" spans="1:21" ht="15" customHeight="1"/>
    <row r="21" spans="1:21" ht="15" customHeight="1"/>
    <row r="22" spans="1:21" ht="15" customHeight="1"/>
    <row r="23" spans="1:21" ht="15" customHeight="1"/>
    <row r="24" spans="1:21" ht="15" customHeight="1"/>
    <row r="25" spans="1:21" ht="15" customHeight="1"/>
    <row r="26" spans="1:21" ht="15" customHeight="1">
      <c r="A26" s="117"/>
    </row>
    <row r="27" spans="1:21" ht="15" customHeight="1"/>
    <row r="28" spans="1:21" ht="15" customHeight="1">
      <c r="A28" s="117"/>
    </row>
    <row r="29" spans="1:21" ht="15" customHeight="1"/>
    <row r="30" spans="1:21" ht="15" customHeight="1">
      <c r="A30" s="117"/>
    </row>
    <row r="31" spans="1:21" ht="15" customHeight="1"/>
    <row r="32" spans="1:21" ht="15" customHeight="1"/>
    <row r="33" spans="1:14" ht="79.5" customHeight="1">
      <c r="A33" s="282" t="s">
        <v>278</v>
      </c>
      <c r="B33" s="283"/>
      <c r="C33" s="283"/>
      <c r="D33" s="283"/>
      <c r="E33" s="283"/>
      <c r="F33" s="283"/>
      <c r="G33" s="283"/>
      <c r="H33" s="283"/>
      <c r="I33" s="283"/>
      <c r="J33" s="283"/>
      <c r="K33" s="283"/>
      <c r="L33" s="283"/>
      <c r="M33" s="283"/>
      <c r="N33" s="283"/>
    </row>
    <row r="34" spans="1:14" ht="15.75">
      <c r="A34" s="278"/>
      <c r="B34" s="279"/>
      <c r="C34" s="279"/>
      <c r="D34" s="279"/>
      <c r="E34" s="279"/>
      <c r="F34" s="279"/>
      <c r="G34" s="279"/>
      <c r="H34" s="279"/>
      <c r="I34" s="279"/>
      <c r="J34" s="279"/>
      <c r="K34" s="279"/>
      <c r="L34" s="279"/>
      <c r="M34" s="279"/>
      <c r="N34" s="279"/>
    </row>
    <row r="35" spans="1:14" ht="34.5" customHeight="1">
      <c r="A35" s="282" t="s">
        <v>254</v>
      </c>
      <c r="B35" s="284"/>
      <c r="C35" s="284"/>
      <c r="D35" s="284"/>
      <c r="E35" s="284"/>
      <c r="F35" s="284"/>
      <c r="G35" s="284"/>
      <c r="H35" s="284"/>
      <c r="I35" s="284"/>
      <c r="J35" s="284"/>
      <c r="K35" s="284"/>
      <c r="L35" s="284"/>
      <c r="M35" s="284"/>
      <c r="N35" s="284"/>
    </row>
    <row r="36" spans="1:14" ht="15.75">
      <c r="A36" s="138"/>
    </row>
    <row r="37" spans="1:14" ht="15.75">
      <c r="A37" s="140" t="s">
        <v>257</v>
      </c>
    </row>
    <row r="38" spans="1:14" ht="15.75">
      <c r="A38" s="140" t="s">
        <v>258</v>
      </c>
    </row>
    <row r="39" spans="1:14" ht="15.75">
      <c r="A39" s="140" t="s">
        <v>259</v>
      </c>
    </row>
    <row r="40" spans="1:14" ht="15.75">
      <c r="A40" s="140" t="s">
        <v>260</v>
      </c>
    </row>
    <row r="41" spans="1:14" ht="15.75">
      <c r="A41" s="140" t="s">
        <v>261</v>
      </c>
    </row>
    <row r="42" spans="1:14" ht="15.75">
      <c r="A42" s="140" t="s">
        <v>262</v>
      </c>
    </row>
  </sheetData>
  <mergeCells count="12">
    <mergeCell ref="O3:P3"/>
    <mergeCell ref="O4:P4"/>
    <mergeCell ref="O5:P5"/>
    <mergeCell ref="C4:D4"/>
    <mergeCell ref="C5:D5"/>
    <mergeCell ref="A33:N33"/>
    <mergeCell ref="A35:N35"/>
    <mergeCell ref="A3:J3"/>
    <mergeCell ref="E4:G4"/>
    <mergeCell ref="E5:G5"/>
    <mergeCell ref="C6:D6"/>
    <mergeCell ref="E6:G6"/>
  </mergeCells>
  <pageMargins left="0.7" right="0.7" top="0.75" bottom="0.75" header="0.3" footer="0.3"/>
  <pageSetup scale="67" orientation="portrait" r:id="rId1"/>
  <drawing r:id="rId2"/>
</worksheet>
</file>

<file path=xl/worksheets/sheet10.xml><?xml version="1.0" encoding="utf-8"?>
<worksheet xmlns="http://schemas.openxmlformats.org/spreadsheetml/2006/main" xmlns:r="http://schemas.openxmlformats.org/officeDocument/2006/relationships">
  <dimension ref="A1:AD111"/>
  <sheetViews>
    <sheetView workbookViewId="0">
      <selection activeCell="B8" sqref="B8"/>
    </sheetView>
  </sheetViews>
  <sheetFormatPr defaultRowHeight="12.75"/>
  <cols>
    <col min="1" max="1" width="57" style="57" customWidth="1"/>
    <col min="2" max="3" width="9.140625" style="57"/>
    <col min="4" max="4" width="2.42578125" style="57" customWidth="1"/>
    <col min="5" max="5" width="70.140625" style="57" customWidth="1"/>
    <col min="6" max="6" width="9.140625" style="57"/>
    <col min="7" max="7" width="13.42578125" style="57" customWidth="1"/>
    <col min="8" max="8" width="19.7109375" style="57" customWidth="1"/>
    <col min="9" max="9" width="3.85546875" style="57" customWidth="1"/>
    <col min="10" max="10" width="31.42578125" style="57" customWidth="1"/>
    <col min="11" max="11" width="10.5703125" style="57" bestFit="1" customWidth="1"/>
    <col min="12" max="12" width="9.140625" style="57"/>
    <col min="13" max="13" width="35.140625" style="57" customWidth="1"/>
    <col min="14" max="15" width="10" style="57" bestFit="1" customWidth="1"/>
    <col min="16" max="16" width="12.5703125" style="57" bestFit="1" customWidth="1"/>
    <col min="17" max="17" width="10.5703125" style="57" bestFit="1" customWidth="1"/>
    <col min="18" max="18" width="14.85546875" style="57" customWidth="1"/>
    <col min="19" max="19" width="9.42578125" style="57" bestFit="1" customWidth="1"/>
    <col min="20" max="20" width="10" style="57" bestFit="1" customWidth="1"/>
    <col min="21" max="22" width="12.7109375" style="57" bestFit="1" customWidth="1"/>
    <col min="23" max="24" width="12.5703125" style="57" bestFit="1" customWidth="1"/>
    <col min="25" max="25" width="11.140625" style="57" bestFit="1" customWidth="1"/>
    <col min="26" max="26" width="10.5703125" style="57" bestFit="1" customWidth="1"/>
    <col min="27" max="27" width="10.5703125" style="57" customWidth="1"/>
    <col min="28" max="28" width="10" style="57" bestFit="1" customWidth="1"/>
    <col min="29" max="29" width="10.5703125" style="57" bestFit="1" customWidth="1"/>
    <col min="30" max="30" width="10.7109375" style="57" bestFit="1" customWidth="1"/>
    <col min="31" max="16384" width="9.140625" style="57"/>
  </cols>
  <sheetData>
    <row r="1" spans="1:16">
      <c r="A1" s="305" t="s">
        <v>274</v>
      </c>
      <c r="B1" s="300"/>
      <c r="C1" s="300"/>
      <c r="D1" s="300"/>
      <c r="E1" s="300"/>
    </row>
    <row r="2" spans="1:16">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6" ht="15.75">
      <c r="A3" s="56" t="s">
        <v>122</v>
      </c>
      <c r="B3" s="70">
        <v>20000</v>
      </c>
      <c r="C3" s="59" t="s">
        <v>1</v>
      </c>
      <c r="D3" s="58"/>
      <c r="E3" s="71" t="s">
        <v>164</v>
      </c>
      <c r="F3" s="75">
        <f>H3</f>
        <v>8.9300000000000004E-3</v>
      </c>
      <c r="G3" s="72" t="s">
        <v>25</v>
      </c>
      <c r="H3" s="96">
        <v>8.9300000000000004E-3</v>
      </c>
      <c r="I3" s="58"/>
      <c r="J3" s="60" t="s">
        <v>17</v>
      </c>
      <c r="K3" s="232">
        <f t="shared" ref="K3:K28" si="0">IF(ABS(T47*M3*$B$3)&gt;N84,N84,(T47*M3*$B$3))</f>
        <v>6.9713326723890995E-3</v>
      </c>
      <c r="L3" s="121" t="s">
        <v>23</v>
      </c>
      <c r="M3" s="173">
        <f>(-W47+(W47^(2)-4*V47*X47)^(0.5))/(2*V47)</f>
        <v>0.26078210738002783</v>
      </c>
      <c r="N3" s="59" t="s">
        <v>18</v>
      </c>
    </row>
    <row r="4" spans="1:16" ht="15.75">
      <c r="A4" s="71" t="s">
        <v>123</v>
      </c>
      <c r="B4" s="73">
        <v>25</v>
      </c>
      <c r="C4" s="59" t="s">
        <v>37</v>
      </c>
      <c r="D4" s="58"/>
      <c r="E4" s="71" t="s">
        <v>34</v>
      </c>
      <c r="F4" s="75">
        <f>H4</f>
        <v>1</v>
      </c>
      <c r="G4" s="72" t="s">
        <v>26</v>
      </c>
      <c r="H4" s="96">
        <v>1</v>
      </c>
      <c r="I4" s="58"/>
      <c r="J4" s="62" t="s">
        <v>6</v>
      </c>
      <c r="K4" s="232">
        <f t="shared" si="0"/>
        <v>5.1087489282792943E-3</v>
      </c>
      <c r="L4" s="121" t="s">
        <v>23</v>
      </c>
      <c r="M4" s="173">
        <f t="shared" ref="M4:M28" si="1">(-W48+(W48^(2)-4*V48*X48)^(0.5))/(2*V48)</f>
        <v>5.0378565907751048E-2</v>
      </c>
      <c r="N4" s="59" t="s">
        <v>18</v>
      </c>
      <c r="P4" s="106"/>
    </row>
    <row r="5" spans="1:16" ht="15.75">
      <c r="A5" s="71" t="s">
        <v>130</v>
      </c>
      <c r="B5" s="87">
        <v>1</v>
      </c>
      <c r="C5" s="82" t="s">
        <v>3</v>
      </c>
      <c r="D5" s="58"/>
      <c r="E5" s="71" t="s">
        <v>36</v>
      </c>
      <c r="F5" s="75">
        <f>H5</f>
        <v>8.2100000000000003E-5</v>
      </c>
      <c r="G5" s="72" t="s">
        <v>162</v>
      </c>
      <c r="H5" s="96">
        <v>8.2100000000000003E-5</v>
      </c>
      <c r="I5" s="58"/>
      <c r="J5" s="62" t="s">
        <v>13</v>
      </c>
      <c r="K5" s="232">
        <f t="shared" si="0"/>
        <v>7.6577446479254687E-3</v>
      </c>
      <c r="L5" s="121" t="s">
        <v>23</v>
      </c>
      <c r="M5" s="173">
        <f t="shared" si="1"/>
        <v>7.4281325512116719E-2</v>
      </c>
      <c r="N5" s="59" t="s">
        <v>18</v>
      </c>
      <c r="P5" s="106"/>
    </row>
    <row r="6" spans="1:16" ht="15.75">
      <c r="A6" s="56" t="s">
        <v>124</v>
      </c>
      <c r="B6" s="70">
        <v>8.7599999999999997E-2</v>
      </c>
      <c r="C6" s="59" t="s">
        <v>19</v>
      </c>
      <c r="D6" s="58"/>
      <c r="E6" s="71" t="s">
        <v>163</v>
      </c>
      <c r="F6" s="75">
        <f>H6</f>
        <v>1.8100000000000001E-4</v>
      </c>
      <c r="G6" s="72" t="s">
        <v>25</v>
      </c>
      <c r="H6" s="96">
        <v>1.8100000000000001E-4</v>
      </c>
      <c r="I6" s="58"/>
      <c r="J6" s="60" t="s">
        <v>69</v>
      </c>
      <c r="K6" s="232">
        <f t="shared" si="0"/>
        <v>1.7050154406360228E-2</v>
      </c>
      <c r="L6" s="121" t="s">
        <v>23</v>
      </c>
      <c r="M6" s="173">
        <f t="shared" si="1"/>
        <v>0.23146635940855217</v>
      </c>
      <c r="N6" s="59" t="s">
        <v>18</v>
      </c>
      <c r="P6" s="106"/>
    </row>
    <row r="7" spans="1:16" ht="15.75">
      <c r="A7" s="56" t="s">
        <v>131</v>
      </c>
      <c r="B7" s="74">
        <v>4</v>
      </c>
      <c r="C7" s="59" t="s">
        <v>46</v>
      </c>
      <c r="D7" s="58"/>
      <c r="E7" s="71" t="s">
        <v>27</v>
      </c>
      <c r="F7" s="75">
        <f>H7</f>
        <v>1.1999999999999999E-3</v>
      </c>
      <c r="G7" s="72" t="s">
        <v>26</v>
      </c>
      <c r="H7" s="96">
        <v>1.1999999999999999E-3</v>
      </c>
      <c r="I7" s="58"/>
      <c r="J7" s="62" t="s">
        <v>9</v>
      </c>
      <c r="K7" s="232">
        <f t="shared" si="0"/>
        <v>5.6495764019511868E-2</v>
      </c>
      <c r="L7" s="121" t="s">
        <v>23</v>
      </c>
      <c r="M7" s="173">
        <f t="shared" si="1"/>
        <v>0.6937439584889914</v>
      </c>
      <c r="N7" s="59" t="s">
        <v>18</v>
      </c>
      <c r="P7" s="106"/>
    </row>
    <row r="8" spans="1:16" ht="15.75">
      <c r="A8" s="71" t="s">
        <v>135</v>
      </c>
      <c r="B8" s="75">
        <v>50</v>
      </c>
      <c r="C8" s="59" t="s">
        <v>18</v>
      </c>
      <c r="D8" s="58"/>
      <c r="E8" s="56" t="s">
        <v>90</v>
      </c>
      <c r="F8" s="97">
        <v>8.4999999999999999E-6</v>
      </c>
      <c r="G8" s="59" t="s">
        <v>89</v>
      </c>
      <c r="H8" s="98">
        <v>8.4999999999999999E-6</v>
      </c>
      <c r="I8" s="58"/>
      <c r="J8" s="63" t="s">
        <v>7</v>
      </c>
      <c r="K8" s="232">
        <f t="shared" si="0"/>
        <v>2.1359174321240754E-3</v>
      </c>
      <c r="L8" s="121" t="s">
        <v>23</v>
      </c>
      <c r="M8" s="173">
        <f t="shared" si="1"/>
        <v>2.6046700129012616E-2</v>
      </c>
      <c r="N8" s="59" t="s">
        <v>18</v>
      </c>
      <c r="P8" s="106"/>
    </row>
    <row r="9" spans="1:16" ht="15.75">
      <c r="A9" s="56" t="s">
        <v>56</v>
      </c>
      <c r="B9" s="75">
        <v>4.47</v>
      </c>
      <c r="C9" s="59" t="s">
        <v>0</v>
      </c>
      <c r="D9" s="58"/>
      <c r="E9" s="71" t="s">
        <v>85</v>
      </c>
      <c r="F9" s="75">
        <f>H9</f>
        <v>0.33</v>
      </c>
      <c r="G9" s="59" t="s">
        <v>43</v>
      </c>
      <c r="H9" s="96">
        <v>0.33</v>
      </c>
      <c r="I9" s="58"/>
      <c r="J9" s="62" t="s">
        <v>8</v>
      </c>
      <c r="K9" s="232">
        <f t="shared" si="0"/>
        <v>3.0759005854081537E-3</v>
      </c>
      <c r="L9" s="121" t="s">
        <v>23</v>
      </c>
      <c r="M9" s="173">
        <f t="shared" si="1"/>
        <v>3.5276531709329262E-2</v>
      </c>
      <c r="N9" s="59" t="s">
        <v>18</v>
      </c>
      <c r="P9" s="106"/>
    </row>
    <row r="10" spans="1:16" ht="15.75">
      <c r="A10" s="99" t="s">
        <v>147</v>
      </c>
      <c r="B10" s="75">
        <v>20</v>
      </c>
      <c r="C10" s="59" t="s">
        <v>18</v>
      </c>
      <c r="D10" s="58"/>
      <c r="E10" s="71" t="s">
        <v>148</v>
      </c>
      <c r="F10" s="75">
        <f>H10</f>
        <v>0.67</v>
      </c>
      <c r="G10" s="120" t="s">
        <v>149</v>
      </c>
      <c r="H10" s="96">
        <v>0.67</v>
      </c>
      <c r="I10" s="58"/>
      <c r="J10" s="62" t="s">
        <v>11</v>
      </c>
      <c r="K10" s="232">
        <f t="shared" si="0"/>
        <v>2.5931175337146575E-2</v>
      </c>
      <c r="L10" s="121" t="s">
        <v>23</v>
      </c>
      <c r="M10" s="173">
        <f t="shared" si="1"/>
        <v>0.29386145513791961</v>
      </c>
      <c r="N10" s="59" t="s">
        <v>18</v>
      </c>
      <c r="P10" s="106"/>
    </row>
    <row r="11" spans="1:16" ht="15.75">
      <c r="A11" s="277" t="s">
        <v>275</v>
      </c>
      <c r="D11" s="58"/>
      <c r="H11" s="89"/>
      <c r="I11" s="58"/>
      <c r="J11" s="63" t="s">
        <v>70</v>
      </c>
      <c r="K11" s="232">
        <f t="shared" si="0"/>
        <v>9.8643566375463745E-3</v>
      </c>
      <c r="L11" s="121" t="s">
        <v>23</v>
      </c>
      <c r="M11" s="173">
        <f t="shared" si="1"/>
        <v>9.0858575385250523E-2</v>
      </c>
      <c r="N11" s="59" t="s">
        <v>18</v>
      </c>
      <c r="P11" s="106"/>
    </row>
    <row r="12" spans="1:16" ht="14.25">
      <c r="D12" s="58"/>
      <c r="H12" s="89"/>
      <c r="I12" s="58"/>
      <c r="J12" s="63" t="s">
        <v>16</v>
      </c>
      <c r="K12" s="232">
        <f t="shared" si="0"/>
        <v>7.4395700769322709E-6</v>
      </c>
      <c r="L12" s="121" t="s">
        <v>23</v>
      </c>
      <c r="M12" s="173">
        <f t="shared" si="1"/>
        <v>0.56583570619087864</v>
      </c>
      <c r="N12" s="59" t="s">
        <v>18</v>
      </c>
      <c r="P12" s="106"/>
    </row>
    <row r="13" spans="1:16" ht="14.25">
      <c r="D13" s="58"/>
      <c r="I13" s="58"/>
      <c r="J13" s="60" t="s">
        <v>71</v>
      </c>
      <c r="K13" s="232">
        <f t="shared" si="0"/>
        <v>1.072301479850901E-2</v>
      </c>
      <c r="L13" s="121" t="s">
        <v>23</v>
      </c>
      <c r="M13" s="173">
        <f t="shared" si="1"/>
        <v>0.13979646341251653</v>
      </c>
      <c r="N13" s="59" t="s">
        <v>18</v>
      </c>
      <c r="P13" s="106"/>
    </row>
    <row r="14" spans="1:16" ht="15">
      <c r="A14" s="298" t="s">
        <v>102</v>
      </c>
      <c r="B14" s="308"/>
      <c r="C14" s="308"/>
      <c r="D14" s="58"/>
      <c r="I14" s="58"/>
      <c r="J14" s="62" t="s">
        <v>12</v>
      </c>
      <c r="K14" s="232">
        <f t="shared" si="0"/>
        <v>2.864609664019501E-3</v>
      </c>
      <c r="L14" s="121" t="s">
        <v>23</v>
      </c>
      <c r="M14" s="173">
        <f t="shared" si="1"/>
        <v>3.0793927958073418E-2</v>
      </c>
      <c r="N14" s="59" t="s">
        <v>18</v>
      </c>
      <c r="P14" s="106"/>
    </row>
    <row r="15" spans="1:16" ht="14.25">
      <c r="A15" s="60" t="s">
        <v>17</v>
      </c>
      <c r="B15" s="76">
        <v>1</v>
      </c>
      <c r="C15" s="59" t="s">
        <v>18</v>
      </c>
      <c r="D15" s="58"/>
      <c r="I15" s="58"/>
      <c r="J15" s="62" t="s">
        <v>10</v>
      </c>
      <c r="K15" s="232">
        <f t="shared" si="0"/>
        <v>1.1314379030757337E-5</v>
      </c>
      <c r="L15" s="121" t="s">
        <v>23</v>
      </c>
      <c r="M15" s="173">
        <f t="shared" si="1"/>
        <v>6.0321198543906102E-3</v>
      </c>
      <c r="N15" s="59" t="s">
        <v>18</v>
      </c>
      <c r="P15" s="106"/>
    </row>
    <row r="16" spans="1:16" ht="14.25">
      <c r="A16" s="62" t="s">
        <v>6</v>
      </c>
      <c r="B16" s="76">
        <v>1</v>
      </c>
      <c r="C16" s="59" t="s">
        <v>18</v>
      </c>
      <c r="D16" s="58"/>
      <c r="I16" s="58"/>
      <c r="J16" s="63" t="s">
        <v>72</v>
      </c>
      <c r="K16" s="232">
        <f t="shared" si="0"/>
        <v>4.2411929083613527E-3</v>
      </c>
      <c r="L16" s="121" t="s">
        <v>23</v>
      </c>
      <c r="M16" s="173">
        <f t="shared" si="1"/>
        <v>4.8651093452377142E-2</v>
      </c>
      <c r="N16" s="59" t="s">
        <v>18</v>
      </c>
      <c r="P16" s="106"/>
    </row>
    <row r="17" spans="1:16" ht="14.25">
      <c r="A17" s="62" t="s">
        <v>13</v>
      </c>
      <c r="B17" s="76">
        <v>1</v>
      </c>
      <c r="C17" s="59" t="s">
        <v>18</v>
      </c>
      <c r="D17" s="58"/>
      <c r="I17" s="58"/>
      <c r="J17" s="63" t="s">
        <v>73</v>
      </c>
      <c r="K17" s="232">
        <f t="shared" si="0"/>
        <v>3.0175333391274967E-5</v>
      </c>
      <c r="L17" s="121" t="s">
        <v>23</v>
      </c>
      <c r="M17" s="173">
        <f t="shared" si="1"/>
        <v>4.6303686174245951E-3</v>
      </c>
      <c r="N17" s="59" t="s">
        <v>18</v>
      </c>
      <c r="P17" s="106"/>
    </row>
    <row r="18" spans="1:16" ht="14.25">
      <c r="A18" s="60" t="s">
        <v>69</v>
      </c>
      <c r="B18" s="76">
        <v>1</v>
      </c>
      <c r="C18" s="59" t="s">
        <v>18</v>
      </c>
      <c r="D18" s="58"/>
      <c r="I18" s="58"/>
      <c r="J18" s="64" t="s">
        <v>74</v>
      </c>
      <c r="K18" s="232">
        <f t="shared" si="0"/>
        <v>3.94136455264372E-3</v>
      </c>
      <c r="L18" s="121" t="s">
        <v>23</v>
      </c>
      <c r="M18" s="173">
        <f t="shared" si="1"/>
        <v>4.0136769899674386E-2</v>
      </c>
      <c r="N18" s="59" t="s">
        <v>18</v>
      </c>
      <c r="P18" s="106"/>
    </row>
    <row r="19" spans="1:16" ht="14.25">
      <c r="A19" s="62" t="s">
        <v>9</v>
      </c>
      <c r="B19" s="76">
        <v>10</v>
      </c>
      <c r="C19" s="59" t="s">
        <v>18</v>
      </c>
      <c r="D19" s="58"/>
      <c r="I19" s="58"/>
      <c r="J19" s="63" t="s">
        <v>75</v>
      </c>
      <c r="K19" s="232">
        <f t="shared" si="0"/>
        <v>9.2126157130010596E-3</v>
      </c>
      <c r="L19" s="121" t="s">
        <v>23</v>
      </c>
      <c r="M19" s="173">
        <f t="shared" si="1"/>
        <v>8.9419776982068405E-2</v>
      </c>
      <c r="N19" s="59" t="s">
        <v>18</v>
      </c>
      <c r="P19" s="106"/>
    </row>
    <row r="20" spans="1:16" ht="14.25">
      <c r="A20" s="63" t="s">
        <v>7</v>
      </c>
      <c r="B20" s="76">
        <v>1</v>
      </c>
      <c r="C20" s="59" t="s">
        <v>18</v>
      </c>
      <c r="D20" s="58"/>
      <c r="I20" s="58"/>
      <c r="J20" s="64" t="s">
        <v>78</v>
      </c>
      <c r="K20" s="232">
        <f t="shared" si="0"/>
        <v>4.1553088247623989E-3</v>
      </c>
      <c r="L20" s="121" t="s">
        <v>23</v>
      </c>
      <c r="M20" s="173">
        <f t="shared" si="1"/>
        <v>5.0930391130763121E-2</v>
      </c>
      <c r="N20" s="59" t="s">
        <v>18</v>
      </c>
      <c r="P20" s="106"/>
    </row>
    <row r="21" spans="1:16" ht="14.25">
      <c r="A21" s="62" t="s">
        <v>8</v>
      </c>
      <c r="B21" s="76">
        <v>1</v>
      </c>
      <c r="C21" s="59" t="s">
        <v>18</v>
      </c>
      <c r="D21" s="58"/>
      <c r="I21" s="58"/>
      <c r="J21" s="65" t="s">
        <v>14</v>
      </c>
      <c r="K21" s="232">
        <f t="shared" si="0"/>
        <v>8.9674128213711492E-3</v>
      </c>
      <c r="L21" s="121" t="s">
        <v>23</v>
      </c>
      <c r="M21" s="173">
        <f t="shared" si="1"/>
        <v>7.3006951958789937E-2</v>
      </c>
      <c r="N21" s="59" t="s">
        <v>18</v>
      </c>
      <c r="P21" s="106"/>
    </row>
    <row r="22" spans="1:16" ht="14.25">
      <c r="A22" s="62" t="s">
        <v>11</v>
      </c>
      <c r="B22" s="76">
        <v>1</v>
      </c>
      <c r="C22" s="59" t="s">
        <v>18</v>
      </c>
      <c r="D22" s="58"/>
      <c r="I22" s="58"/>
      <c r="J22" s="65" t="s">
        <v>79</v>
      </c>
      <c r="K22" s="232">
        <f t="shared" si="0"/>
        <v>7.1294120886884263E-3</v>
      </c>
      <c r="L22" s="121" t="s">
        <v>23</v>
      </c>
      <c r="M22" s="173">
        <f t="shared" si="1"/>
        <v>7.0480679239961361E-2</v>
      </c>
      <c r="N22" s="59" t="s">
        <v>18</v>
      </c>
      <c r="P22" s="106"/>
    </row>
    <row r="23" spans="1:16" ht="14.25">
      <c r="A23" s="63" t="s">
        <v>70</v>
      </c>
      <c r="B23" s="76">
        <v>1</v>
      </c>
      <c r="C23" s="59" t="s">
        <v>18</v>
      </c>
      <c r="D23" s="58"/>
      <c r="I23" s="58"/>
      <c r="J23" s="65" t="s">
        <v>15</v>
      </c>
      <c r="K23" s="232">
        <f t="shared" si="0"/>
        <v>7.0522481413349973E-8</v>
      </c>
      <c r="L23" s="121" t="s">
        <v>23</v>
      </c>
      <c r="M23" s="173">
        <f t="shared" si="1"/>
        <v>0.41892545937451114</v>
      </c>
      <c r="N23" s="59" t="s">
        <v>18</v>
      </c>
      <c r="P23" s="106"/>
    </row>
    <row r="24" spans="1:16" ht="14.25">
      <c r="A24" s="63" t="s">
        <v>16</v>
      </c>
      <c r="B24" s="76">
        <v>1</v>
      </c>
      <c r="C24" s="59" t="s">
        <v>18</v>
      </c>
      <c r="D24" s="58"/>
      <c r="I24" s="58"/>
      <c r="J24" s="65" t="s">
        <v>80</v>
      </c>
      <c r="K24" s="232">
        <f t="shared" si="0"/>
        <v>3.5724648992609444E-3</v>
      </c>
      <c r="L24" s="121" t="s">
        <v>23</v>
      </c>
      <c r="M24" s="173">
        <f t="shared" si="1"/>
        <v>4.5733033960362136E-2</v>
      </c>
      <c r="N24" s="59" t="s">
        <v>18</v>
      </c>
      <c r="P24" s="106"/>
    </row>
    <row r="25" spans="1:16" ht="14.25">
      <c r="A25" s="60" t="s">
        <v>71</v>
      </c>
      <c r="B25" s="76">
        <v>1</v>
      </c>
      <c r="C25" s="59" t="s">
        <v>18</v>
      </c>
      <c r="D25" s="58"/>
      <c r="I25" s="58"/>
      <c r="J25" s="65" t="s">
        <v>59</v>
      </c>
      <c r="K25" s="232" t="e">
        <f t="shared" si="0"/>
        <v>#DIV/0!</v>
      </c>
      <c r="L25" s="121" t="s">
        <v>23</v>
      </c>
      <c r="M25" s="173" t="e">
        <f t="shared" si="1"/>
        <v>#DIV/0!</v>
      </c>
      <c r="N25" s="59" t="s">
        <v>18</v>
      </c>
      <c r="P25" s="106"/>
    </row>
    <row r="26" spans="1:16" ht="14.25">
      <c r="A26" s="62" t="s">
        <v>12</v>
      </c>
      <c r="B26" s="76">
        <v>1</v>
      </c>
      <c r="C26" s="59" t="s">
        <v>18</v>
      </c>
      <c r="D26" s="58"/>
      <c r="I26" s="58"/>
      <c r="J26" s="81" t="s">
        <v>60</v>
      </c>
      <c r="K26" s="232" t="e">
        <f t="shared" si="0"/>
        <v>#DIV/0!</v>
      </c>
      <c r="L26" s="121" t="s">
        <v>23</v>
      </c>
      <c r="M26" s="173" t="e">
        <f t="shared" si="1"/>
        <v>#DIV/0!</v>
      </c>
      <c r="N26" s="59" t="s">
        <v>18</v>
      </c>
      <c r="P26" s="106"/>
    </row>
    <row r="27" spans="1:16" ht="14.25">
      <c r="A27" s="62" t="s">
        <v>10</v>
      </c>
      <c r="B27" s="76">
        <v>1</v>
      </c>
      <c r="C27" s="59" t="s">
        <v>18</v>
      </c>
      <c r="D27" s="58"/>
      <c r="I27" s="58"/>
      <c r="J27" s="65" t="s">
        <v>61</v>
      </c>
      <c r="K27" s="232" t="e">
        <f t="shared" si="0"/>
        <v>#DIV/0!</v>
      </c>
      <c r="L27" s="121" t="s">
        <v>23</v>
      </c>
      <c r="M27" s="173" t="e">
        <f t="shared" si="1"/>
        <v>#DIV/0!</v>
      </c>
      <c r="N27" s="59" t="s">
        <v>18</v>
      </c>
      <c r="P27" s="106"/>
    </row>
    <row r="28" spans="1:16" ht="14.25">
      <c r="A28" s="63" t="s">
        <v>72</v>
      </c>
      <c r="B28" s="76">
        <v>1</v>
      </c>
      <c r="C28" s="59" t="s">
        <v>18</v>
      </c>
      <c r="D28" s="58"/>
      <c r="I28" s="58"/>
      <c r="J28" s="65" t="s">
        <v>256</v>
      </c>
      <c r="K28" s="232">
        <f t="shared" si="0"/>
        <v>5.0721373733209237E-3</v>
      </c>
      <c r="L28" s="121" t="s">
        <v>23</v>
      </c>
      <c r="M28" s="173">
        <f t="shared" si="1"/>
        <v>4.8212330553025845E-2</v>
      </c>
      <c r="N28" s="59" t="s">
        <v>18</v>
      </c>
      <c r="P28" s="106"/>
    </row>
    <row r="29" spans="1:16" ht="14.25">
      <c r="A29" s="63" t="s">
        <v>73</v>
      </c>
      <c r="B29" s="76">
        <v>1</v>
      </c>
      <c r="C29" s="59" t="s">
        <v>18</v>
      </c>
      <c r="D29" s="58"/>
      <c r="I29" s="55"/>
      <c r="P29" s="106"/>
    </row>
    <row r="30" spans="1:16" ht="14.25">
      <c r="A30" s="64" t="s">
        <v>74</v>
      </c>
      <c r="B30" s="76">
        <v>1</v>
      </c>
      <c r="C30" s="59" t="s">
        <v>18</v>
      </c>
      <c r="D30" s="58"/>
      <c r="I30" s="55"/>
      <c r="J30" s="212"/>
      <c r="K30" s="260"/>
      <c r="L30" s="230"/>
      <c r="M30" s="258"/>
      <c r="N30" s="185"/>
      <c r="P30" s="106"/>
    </row>
    <row r="31" spans="1:16" ht="14.25">
      <c r="A31" s="63" t="s">
        <v>75</v>
      </c>
      <c r="B31" s="76">
        <v>1</v>
      </c>
      <c r="C31" s="59" t="s">
        <v>18</v>
      </c>
      <c r="D31" s="58"/>
      <c r="I31" s="55"/>
      <c r="J31" s="55"/>
      <c r="K31" s="55"/>
      <c r="L31" s="276"/>
      <c r="M31" s="55"/>
      <c r="N31" s="79"/>
    </row>
    <row r="32" spans="1:16" ht="14.25">
      <c r="A32" s="64" t="s">
        <v>78</v>
      </c>
      <c r="B32" s="76">
        <v>1</v>
      </c>
      <c r="C32" s="59" t="s">
        <v>18</v>
      </c>
      <c r="D32" s="58"/>
      <c r="J32" s="55"/>
      <c r="K32" s="55"/>
      <c r="L32" s="276"/>
      <c r="M32" s="55"/>
      <c r="N32" s="79"/>
    </row>
    <row r="33" spans="1:24" ht="14.25">
      <c r="A33" s="65" t="s">
        <v>14</v>
      </c>
      <c r="B33" s="76">
        <v>1</v>
      </c>
      <c r="C33" s="59" t="s">
        <v>18</v>
      </c>
      <c r="D33" s="58"/>
      <c r="J33" s="55"/>
      <c r="K33" s="55"/>
      <c r="L33" s="276"/>
      <c r="M33" s="55"/>
      <c r="N33" s="79"/>
    </row>
    <row r="34" spans="1:24" ht="14.25">
      <c r="A34" s="65" t="s">
        <v>79</v>
      </c>
      <c r="B34" s="76">
        <v>1</v>
      </c>
      <c r="C34" s="59" t="s">
        <v>18</v>
      </c>
      <c r="D34" s="58"/>
      <c r="J34" s="55"/>
      <c r="K34" s="55"/>
      <c r="L34" s="276"/>
      <c r="M34" s="55"/>
      <c r="N34" s="79"/>
    </row>
    <row r="35" spans="1:24" ht="14.25">
      <c r="A35" s="65" t="s">
        <v>15</v>
      </c>
      <c r="B35" s="76">
        <v>1</v>
      </c>
      <c r="C35" s="59" t="s">
        <v>18</v>
      </c>
      <c r="D35" s="58"/>
      <c r="J35" s="55"/>
      <c r="K35" s="55"/>
      <c r="L35" s="276"/>
      <c r="M35" s="55"/>
      <c r="N35" s="79"/>
    </row>
    <row r="36" spans="1:24" ht="14.25">
      <c r="A36" s="65" t="s">
        <v>80</v>
      </c>
      <c r="B36" s="76">
        <v>1</v>
      </c>
      <c r="C36" s="59" t="s">
        <v>18</v>
      </c>
      <c r="D36" s="58"/>
      <c r="J36" s="55"/>
      <c r="K36" s="55"/>
      <c r="L36" s="276"/>
      <c r="M36" s="55"/>
      <c r="N36" s="79"/>
    </row>
    <row r="37" spans="1:24" ht="14.25">
      <c r="A37" s="65" t="s">
        <v>59</v>
      </c>
      <c r="B37" s="76">
        <v>1</v>
      </c>
      <c r="C37" s="59" t="s">
        <v>18</v>
      </c>
      <c r="D37" s="58"/>
      <c r="J37" s="55"/>
      <c r="K37" s="55"/>
      <c r="L37" s="276"/>
      <c r="M37" s="55"/>
      <c r="N37" s="79"/>
    </row>
    <row r="38" spans="1:24" ht="14.25">
      <c r="A38" s="81" t="s">
        <v>60</v>
      </c>
      <c r="B38" s="76">
        <v>1</v>
      </c>
      <c r="C38" s="59" t="s">
        <v>18</v>
      </c>
      <c r="D38" s="58"/>
      <c r="J38" s="55"/>
      <c r="K38" s="55"/>
      <c r="L38" s="276"/>
      <c r="M38" s="55"/>
      <c r="N38" s="79"/>
    </row>
    <row r="39" spans="1:24" ht="14.25">
      <c r="A39" s="65" t="s">
        <v>61</v>
      </c>
      <c r="B39" s="76">
        <v>1</v>
      </c>
      <c r="C39" s="59" t="s">
        <v>18</v>
      </c>
      <c r="D39" s="55"/>
      <c r="H39" s="55"/>
    </row>
    <row r="40" spans="1:24" ht="14.25">
      <c r="A40" s="65" t="s">
        <v>256</v>
      </c>
      <c r="B40" s="76">
        <v>1</v>
      </c>
      <c r="C40" s="59" t="s">
        <v>18</v>
      </c>
      <c r="D40" s="55"/>
      <c r="H40" s="55"/>
    </row>
    <row r="41" spans="1:24">
      <c r="D41" s="55"/>
      <c r="H41" s="55"/>
    </row>
    <row r="42" spans="1:24">
      <c r="A42" s="212"/>
      <c r="B42" s="215"/>
      <c r="C42" s="185"/>
      <c r="D42" s="55"/>
      <c r="H42" s="55"/>
    </row>
    <row r="43" spans="1:24" ht="15.75">
      <c r="E43" s="311"/>
      <c r="F43" s="312"/>
      <c r="G43" s="312"/>
      <c r="H43" s="55"/>
      <c r="M43" s="56" t="s">
        <v>56</v>
      </c>
      <c r="N43" s="273">
        <f>IF(B9&lt;minWindSpd,minWindSpd,B9)</f>
        <v>4.47</v>
      </c>
      <c r="O43" s="59" t="s">
        <v>0</v>
      </c>
    </row>
    <row r="44" spans="1:24">
      <c r="E44" s="122"/>
      <c r="F44" s="114"/>
      <c r="G44" s="115"/>
      <c r="M44" s="272" t="str">
        <f>IF(B9&lt;minWindSpd,CONCATENATE("Windspeed has been set at ",TEXT(minWindSpd,"0.##")," m/s, which is the minimum windspeed for the mass transfer calculations"),"")</f>
        <v/>
      </c>
    </row>
    <row r="45" spans="1:24">
      <c r="E45" s="123"/>
      <c r="F45" s="114"/>
      <c r="G45" s="115"/>
      <c r="I45" s="55"/>
      <c r="J45" s="55"/>
      <c r="K45" s="55"/>
    </row>
    <row r="46" spans="1:24" ht="14.25">
      <c r="E46" s="123"/>
      <c r="F46" s="114"/>
      <c r="G46" s="115"/>
      <c r="I46" s="310"/>
      <c r="J46" s="310"/>
      <c r="K46" s="310"/>
      <c r="M46" s="83" t="s">
        <v>21</v>
      </c>
      <c r="N46" s="83" t="s">
        <v>107</v>
      </c>
      <c r="O46" s="83" t="s">
        <v>103</v>
      </c>
      <c r="P46" s="83" t="s">
        <v>108</v>
      </c>
      <c r="Q46" s="83" t="s">
        <v>104</v>
      </c>
      <c r="R46" s="83" t="s">
        <v>35</v>
      </c>
      <c r="S46" s="83" t="s">
        <v>111</v>
      </c>
      <c r="T46" s="83" t="s">
        <v>112</v>
      </c>
      <c r="U46" s="95" t="s">
        <v>120</v>
      </c>
      <c r="V46" s="95" t="s">
        <v>150</v>
      </c>
      <c r="W46" s="95" t="s">
        <v>151</v>
      </c>
      <c r="X46" s="95" t="s">
        <v>152</v>
      </c>
    </row>
    <row r="47" spans="1:24">
      <c r="E47" s="122"/>
      <c r="F47" s="114"/>
      <c r="G47" s="115"/>
      <c r="I47" s="55"/>
      <c r="J47" s="55"/>
      <c r="K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Properties'!F4)/$F$8)^(2/3),IF($N$76&lt;14,IF($N$78&lt;0.3,0.000001+0.0144*$N$78^2.2*N47^(-0.5),0.000001+0.00341*$N$78*N47^(-0.5)),IF($N$76&lt;=51.2,(0.000000002605*$N$76+0.0000001277)*$N$43^2*(IF(ABS('Chemical Properties'!F41)&gt;0,'Chemical Properties'!F41,'Chemical Properties'!F4)/$F$8)^(2/3),0.000000261*$N$43^2*(IF(ABS('Chemical Properties'!F41)&gt;0,'Chemical Properties'!F41,'Chemical Properties'!F4)/$F$8)^(2/3))))</f>
        <v>7.172701461580476E-6</v>
      </c>
      <c r="Q47" s="105">
        <f t="shared" ref="Q47:Q72" si="2">4.82*10^(-3)*$N$43^(0.78)*O47^(-0.67)*(2*($B$3/3.14)^0.5)^(-0.11)</f>
        <v>8.8376341848513517E-3</v>
      </c>
      <c r="R47" s="105">
        <f>IF(ABS('Chemical Properties'!E41)&gt;0,'Chemical Properties'!E41,'Chemical Properties'!E4)/($F$5*($B$4+273.15))</f>
        <v>1.8588032616073582E-4</v>
      </c>
      <c r="S47" s="105">
        <f t="shared" ref="S47:S72" si="3">(P47*R47*Q47)/(R47*Q47+P47)</f>
        <v>1.3366202042055826E-6</v>
      </c>
      <c r="T47" s="105">
        <f>S47</f>
        <v>1.3366202042055826E-6</v>
      </c>
      <c r="U47" s="105">
        <f>0.000001*$F$9*'Chemical Properties'!N4</f>
        <v>3.0797391926300696E-8</v>
      </c>
      <c r="V47" s="105">
        <f>($B$6+$B$3*T47+$F$10*$B$10*$B$6*$N$79*U47)/$B$6</f>
        <v>1.3051648428689748</v>
      </c>
      <c r="W47" s="105">
        <f>((IF(ABS('Chemical Properties'!J41)&gt;0,'Chemical Properties'!J41,'Chemical Properties'!J4)/$B$6)*(T47*$B$3+($F$10*$B$10*$B$6*$N$79*U47)+($B$6))+((IF(ABS('Chemical Properties'!I41)&gt;0,'Chemical Properties'!I41,'Chemical Properties'!I4)*$B$8*$B$3*$B$7)/$B$6)-B15)</f>
        <v>344.77533814131277</v>
      </c>
      <c r="X47" s="105">
        <f>-IF(ABS('Chemical Properties'!J41)&gt;0,'Chemical Properties'!J41,'Chemical Properties'!J4)*B15</f>
        <v>-90</v>
      </c>
    </row>
    <row r="48" spans="1:24">
      <c r="E48" s="123"/>
      <c r="F48" s="114"/>
      <c r="G48" s="115"/>
      <c r="I48" s="55"/>
      <c r="J48" s="55"/>
      <c r="K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Properties'!F5)/$F$8)^(2/3),IF($N$76&lt;14,IF($N$78&lt;0.3,0.000001+0.0144*$N$78^2.2*N48^(-0.5),0.000001+0.00341*$N$78*N48^(-0.5)),IF($N$76&lt;=51.2,(0.000000002605*$N$76+0.0000001277)*$N$43^2*(IF(ABS('Chemical Properties'!F42)&gt;0,'Chemical Properties'!F42,'Chemical Properties'!F5)/$F$8)^(2/3),0.000000261*$N$43^2*(IF(ABS('Chemical Properties'!F42)&gt;0,'Chemical Properties'!F42,'Chemical Properties'!F5)/$F$8)^(2/3))))</f>
        <v>5.0886694436758132E-6</v>
      </c>
      <c r="Q48" s="105">
        <f t="shared" si="2"/>
        <v>6.18241661672556E-3</v>
      </c>
      <c r="R48" s="105">
        <f>IF(ABS('Chemical Properties'!E42)&gt;0,'Chemical Properties'!E42,'Chemical Properties'!E5)/($F$5*($B$4+273.15))</f>
        <v>0.22792954908029947</v>
      </c>
      <c r="S48" s="105">
        <f t="shared" si="3"/>
        <v>5.0703596224175991E-6</v>
      </c>
      <c r="T48" s="105">
        <f t="shared" ref="T48:T72" si="4">S48</f>
        <v>5.0703596224175991E-6</v>
      </c>
      <c r="U48" s="105">
        <f>0.000001*$F$9*'Chemical Properties'!N5</f>
        <v>2.1306589558143626E-5</v>
      </c>
      <c r="V48" s="105">
        <f t="shared" ref="V48:V72" si="5">($B$6+$B$3*T48+$F$10*$B$10*$B$6*$N$79*U48)/$B$6</f>
        <v>2.1579018604502158</v>
      </c>
      <c r="W48" s="105">
        <f>((IF(ABS('Chemical Properties'!J42)&gt;0,'Chemical Properties'!J42,'Chemical Properties'!J5)/$B$6)*(T48*$B$3+($F$10*$B$10*$B$6*$N$79*U48)+($B$6))+((IF(ABS('Chemical Properties'!I42)&gt;0,'Chemical Properties'!I42,'Chemical Properties'!I5)*$B$8*$B$3*$B$7)/$B$6)-B16)</f>
        <v>269.2802300398638</v>
      </c>
      <c r="X48" s="105">
        <f>-IF(ABS('Chemical Properties'!J42)&gt;0,'Chemical Properties'!J42,'Chemical Properties'!J5)*B16</f>
        <v>-13.571428571428573</v>
      </c>
    </row>
    <row r="49" spans="5:24">
      <c r="E49" s="124"/>
      <c r="F49" s="114"/>
      <c r="G49" s="115"/>
      <c r="I49" s="55"/>
      <c r="J49" s="55"/>
      <c r="K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Properties'!F6)/$F$8)^(2/3),IF($N$76&lt;14,IF($N$78&lt;0.3,0.000001+0.0144*$N$78^2.2*N49^(-0.5),0.000001+0.00341*$N$78*N49^(-0.5)),IF($N$76&lt;=51.2,(0.000000002605*$N$76+0.0000001277)*$N$43^2*(IF(ABS('Chemical Properties'!F43)&gt;0,'Chemical Properties'!F43,'Chemical Properties'!F6)/$F$8)^(2/3),0.000000261*$N$43^2*(IF(ABS('Chemical Properties'!F43)&gt;0,'Chemical Properties'!F43,'Chemical Properties'!F6)/$F$8)^(2/3))))</f>
        <v>5.1576696639832438E-6</v>
      </c>
      <c r="Q49" s="105">
        <f t="shared" si="2"/>
        <v>6.9146024331359747E-3</v>
      </c>
      <c r="R49" s="105">
        <f>IF(ABS('Chemical Properties'!E43)&gt;0,'Chemical Properties'!E43,'Chemical Properties'!E6)/($F$5*($B$4+273.15))</f>
        <v>1.234720891796967</v>
      </c>
      <c r="S49" s="105">
        <f t="shared" si="3"/>
        <v>5.1545557346552345E-6</v>
      </c>
      <c r="T49" s="105">
        <f t="shared" si="4"/>
        <v>5.1545557346552345E-6</v>
      </c>
      <c r="U49" s="105">
        <f>0.000001*$F$9*'Chemical Properties'!N6</f>
        <v>1.5794793046647074E-5</v>
      </c>
      <c r="V49" s="105">
        <f t="shared" si="5"/>
        <v>2.1770508590522213</v>
      </c>
      <c r="W49" s="105">
        <f>((IF(ABS('Chemical Properties'!J43)&gt;0,'Chemical Properties'!J43,'Chemical Properties'!J6)/$B$6)*(T49*$B$3+($F$10*$B$10*$B$6*$N$79*U49)+($B$6))+((IF(ABS('Chemical Properties'!I43)&gt;0,'Chemical Properties'!I43,'Chemical Properties'!I6)*$B$8*$B$3*$B$7)/$B$6)-B17)</f>
        <v>230.33920394186811</v>
      </c>
      <c r="X49" s="105">
        <f>-IF(ABS('Chemical Properties'!J43)&gt;0,'Chemical Properties'!J43,'Chemical Properties'!J6)*B17</f>
        <v>-17.121913733084138</v>
      </c>
    </row>
    <row r="50" spans="5:24">
      <c r="E50" s="123"/>
      <c r="F50" s="114"/>
      <c r="G50" s="115"/>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Properties'!F7)/$F$8)^(2/3),IF($N$76&lt;14,IF($N$78&lt;0.3,0.000001+0.0144*$N$78^2.2*N50^(-0.5),0.000001+0.00341*$N$78*N50^(-0.5)),IF($N$76&lt;=51.2,(0.000000002605*$N$76+0.0000001277)*$N$43^2*(IF(ABS('Chemical Properties'!F44)&gt;0,'Chemical Properties'!F44,'Chemical Properties'!F7)/$F$8)^(2/3),0.000000261*$N$43^2*(IF(ABS('Chemical Properties'!F44)&gt;0,'Chemical Properties'!F44,'Chemical Properties'!F7)/$F$8)^(2/3))))</f>
        <v>5.0886694436758132E-6</v>
      </c>
      <c r="Q50" s="105">
        <f t="shared" si="2"/>
        <v>5.8387581842265588E-3</v>
      </c>
      <c r="R50" s="105">
        <f>IF(ABS('Chemical Properties'!E44)&gt;0,'Chemical Properties'!E44,'Chemical Properties'!E7)/($F$5*($B$4+273.15))</f>
        <v>2.2836725785461832E-3</v>
      </c>
      <c r="S50" s="105">
        <f t="shared" si="3"/>
        <v>3.6830739572539068E-6</v>
      </c>
      <c r="T50" s="105">
        <f t="shared" si="4"/>
        <v>3.6830739572539068E-6</v>
      </c>
      <c r="U50" s="105">
        <f>0.000001*$F$9*'Chemical Properties'!N7</f>
        <v>3.0096357698745028E-7</v>
      </c>
      <c r="V50" s="105">
        <f t="shared" si="5"/>
        <v>1.8408884980383942</v>
      </c>
      <c r="W50" s="105">
        <f>((IF(ABS('Chemical Properties'!J44)&gt;0,'Chemical Properties'!J44,'Chemical Properties'!J7)/$B$6)*(T50*$B$3+($F$10*$B$10*$B$6*$N$79*U50)+($B$6))+((IF(ABS('Chemical Properties'!I44)&gt;0,'Chemical Properties'!I44,'Chemical Properties'!I7)*$B$8*$B$3*$B$7)/$B$6)-B18)</f>
        <v>42.776718567395605</v>
      </c>
      <c r="X50" s="105">
        <f>-IF(ABS('Chemical Properties'!J44)&gt;0,'Chemical Properties'!J44,'Chemical Properties'!J7)*B18</f>
        <v>-10</v>
      </c>
    </row>
    <row r="51" spans="5:24">
      <c r="E51" s="123"/>
      <c r="F51" s="114"/>
      <c r="G51" s="115"/>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Properties'!F8)/$F$8)^(2/3),IF($N$76&lt;14,IF($N$78&lt;0.3,0.000001+0.0144*$N$78^2.2*N51^(-0.5),0.000001+0.00341*$N$78*N51^(-0.5)),IF($N$76&lt;=51.2,(0.000000002605*$N$76+0.0000001277)*$N$43^2*(IF(ABS('Chemical Properties'!F45)&gt;0,'Chemical Properties'!F45,'Chemical Properties'!F8)/$F$8)^(2/3),0.000000261*$N$43^2*(IF(ABS('Chemical Properties'!F45)&gt;0,'Chemical Properties'!F45,'Chemical Properties'!F8)/$F$8)^(2/3))))</f>
        <v>4.2575625010758661E-6</v>
      </c>
      <c r="Q51" s="105">
        <f t="shared" si="2"/>
        <v>4.7296142962965472E-3</v>
      </c>
      <c r="R51" s="105">
        <f>IF(ABS('Chemical Properties'!E45)&gt;0,'Chemical Properties'!E45,'Chemical Properties'!E8)/($F$5*($B$4+273.15))</f>
        <v>1.9731911546293494E-2</v>
      </c>
      <c r="S51" s="105">
        <f t="shared" si="3"/>
        <v>4.071802235407025E-6</v>
      </c>
      <c r="T51" s="105">
        <f t="shared" si="4"/>
        <v>4.071802235407025E-6</v>
      </c>
      <c r="U51" s="105">
        <f>0.000001*$F$9*'Chemical Properties'!N8</f>
        <v>3.6183780472725152E-4</v>
      </c>
      <c r="V51" s="105">
        <f t="shared" si="5"/>
        <v>1.9344838401465929</v>
      </c>
      <c r="W51" s="105">
        <f>((IF(ABS('Chemical Properties'!J45)&gt;0,'Chemical Properties'!J45,'Chemical Properties'!J8)/$B$6)*(T51*$B$3+($F$10*$B$10*$B$6*$N$79*U51)+($B$6))+((IF(ABS('Chemical Properties'!I45)&gt;0,'Chemical Properties'!I45,'Chemical Properties'!I8)*$B$8*$B$3*$B$7)/$B$6)-B19)</f>
        <v>610.84347491121866</v>
      </c>
      <c r="X51" s="105">
        <f>-IF(ABS('Chemical Properties'!J45)&gt;0,'Chemical Properties'!J45,'Chemical Properties'!J8)*B19</f>
        <v>-424.7</v>
      </c>
    </row>
    <row r="52" spans="5:24">
      <c r="E52" s="124"/>
      <c r="F52" s="114"/>
      <c r="G52" s="115"/>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Properties'!F9)/$F$8)^(2/3),IF($N$76&lt;14,IF($N$78&lt;0.3,0.000001+0.0144*$N$78^2.2*N52^(-0.5),0.000001+0.00341*$N$78*N52^(-0.5)),IF($N$76&lt;=51.2,(0.000000002605*$N$76+0.0000001277)*$N$43^2*(IF(ABS('Chemical Properties'!F46)&gt;0,'Chemical Properties'!F46,'Chemical Properties'!F9)/$F$8)^(2/3),0.000000261*$N$43^2*(IF(ABS('Chemical Properties'!F46)&gt;0,'Chemical Properties'!F46,'Chemical Properties'!F9)/$F$8)^(2/3))))</f>
        <v>4.1048039763239402E-6</v>
      </c>
      <c r="Q52" s="105">
        <f t="shared" si="2"/>
        <v>6.0879186378890978E-3</v>
      </c>
      <c r="R52" s="105">
        <f>IF(ABS('Chemical Properties'!E46)&gt;0,'Chemical Properties'!E46,'Chemical Properties'!E9)/($F$5*($B$4+273.15))</f>
        <v>0.59645115647181168</v>
      </c>
      <c r="S52" s="105">
        <f t="shared" si="3"/>
        <v>4.1001689687073702E-6</v>
      </c>
      <c r="T52" s="105">
        <f t="shared" si="4"/>
        <v>4.1001689687073702E-6</v>
      </c>
      <c r="U52" s="105">
        <f>0.000001*$F$9*'Chemical Properties'!N9</f>
        <v>6.0050128334129512E-4</v>
      </c>
      <c r="V52" s="105">
        <f t="shared" si="5"/>
        <v>1.9441583538879539</v>
      </c>
      <c r="W52" s="105">
        <f>((IF(ABS('Chemical Properties'!J46)&gt;0,'Chemical Properties'!J46,'Chemical Properties'!J9)/$B$6)*(T52*$B$3+($F$10*$B$10*$B$6*$N$79*U52)+($B$6))+((IF(ABS('Chemical Properties'!I46)&gt;0,'Chemical Properties'!I46,'Chemical Properties'!I9)*$B$8*$B$3*$B$7)/$B$6)-B20)</f>
        <v>414.4601886210728</v>
      </c>
      <c r="X52" s="105">
        <f>-IF(ABS('Chemical Properties'!J46)&gt;0,'Chemical Properties'!J46,'Chemical Properties'!J9)*B20</f>
        <v>-10.796639224919337</v>
      </c>
    </row>
    <row r="53" spans="5:24">
      <c r="E53" s="124"/>
      <c r="F53" s="114"/>
      <c r="G53" s="115"/>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Properties'!F10)/$F$8)^(2/3),IF($N$76&lt;14,IF($N$78&lt;0.3,0.000001+0.0144*$N$78^2.2*N53^(-0.5),0.000001+0.00341*$N$78*N53^(-0.5)),IF($N$76&lt;=51.2,(0.000000002605*$N$76+0.0000001277)*$N$43^2*(IF(ABS('Chemical Properties'!F47)&gt;0,'Chemical Properties'!F47,'Chemical Properties'!F10)/$F$8)^(2/3),0.000000261*$N$43^2*(IF(ABS('Chemical Properties'!F47)&gt;0,'Chemical Properties'!F47,'Chemical Properties'!F10)/$F$8)^(2/3))))</f>
        <v>4.3703537512689264E-6</v>
      </c>
      <c r="Q53" s="105">
        <f t="shared" si="2"/>
        <v>5.5545121847447336E-3</v>
      </c>
      <c r="R53" s="105">
        <f>IF(ABS('Chemical Properties'!E47)&gt;0,'Chemical Properties'!E47,'Chemical Properties'!E10)/($F$5*($B$4+273.15))</f>
        <v>0.32192021321903264</v>
      </c>
      <c r="S53" s="105">
        <f t="shared" si="3"/>
        <v>4.3596981284227244E-6</v>
      </c>
      <c r="T53" s="105">
        <f t="shared" si="4"/>
        <v>4.3596981284227244E-6</v>
      </c>
      <c r="U53" s="105">
        <f>0.000001*$F$9*'Chemical Properties'!N10</f>
        <v>2.1802883784250701E-4</v>
      </c>
      <c r="V53" s="105">
        <f t="shared" si="5"/>
        <v>1.9982864559299944</v>
      </c>
      <c r="W53" s="105">
        <f>((IF(ABS('Chemical Properties'!J47)&gt;0,'Chemical Properties'!J47,'Chemical Properties'!J10)/$B$6)*(T53*$B$3+($F$10*$B$10*$B$6*$N$79*U53)+($B$6))+((IF(ABS('Chemical Properties'!I47)&gt;0,'Chemical Properties'!I47,'Chemical Properties'!I10)*$B$8*$B$3*$B$7)/$B$6)-B21)</f>
        <v>91.721276053136805</v>
      </c>
      <c r="X53" s="105">
        <f>-IF(ABS('Chemical Properties'!J47)&gt;0,'Chemical Properties'!J47,'Chemical Properties'!J10)*B21</f>
        <v>-3.2380952380952377</v>
      </c>
    </row>
    <row r="54" spans="5:24">
      <c r="E54" s="122"/>
      <c r="F54" s="114"/>
      <c r="G54" s="115"/>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Properties'!F11)/$F$8)^(2/3),IF($N$76&lt;14,IF($N$78&lt;0.3,0.000001+0.0144*$N$78^2.2*N54^(-0.5),0.000001+0.00341*$N$78*N54^(-0.5)),IF($N$76&lt;=51.2,(0.000000002605*$N$76+0.0000001277)*$N$43^2*(IF(ABS('Chemical Properties'!F48)&gt;0,'Chemical Properties'!F48,'Chemical Properties'!F11)/$F$8)^(2/3),0.000000261*$N$43^2*(IF(ABS('Chemical Properties'!F48)&gt;0,'Chemical Properties'!F48,'Chemical Properties'!F11)/$F$8)^(2/3))))</f>
        <v>4.4447449775242354E-6</v>
      </c>
      <c r="Q54" s="105">
        <f t="shared" si="2"/>
        <v>5.3542416858622386E-3</v>
      </c>
      <c r="R54" s="105">
        <f>IF(ABS('Chemical Properties'!E48)&gt;0,'Chemical Properties'!E48,'Chemical Properties'!E11)/($F$5*($B$4+273.15))</f>
        <v>0.11234525207517</v>
      </c>
      <c r="S54" s="105">
        <f t="shared" si="3"/>
        <v>4.4121430156561629E-6</v>
      </c>
      <c r="T54" s="105">
        <f t="shared" si="4"/>
        <v>4.4121430156561629E-6</v>
      </c>
      <c r="U54" s="105">
        <f>0.000001*$F$9*'Chemical Properties'!N11</f>
        <v>1.3756689654521078E-4</v>
      </c>
      <c r="V54" s="105">
        <f t="shared" si="5"/>
        <v>2.0091819844630581</v>
      </c>
      <c r="W54" s="105">
        <f>((IF(ABS('Chemical Properties'!J48)&gt;0,'Chemical Properties'!J48,'Chemical Properties'!J11)/$B$6)*(T54*$B$3+($F$10*$B$10*$B$6*$N$79*U54)+($B$6))+((IF(ABS('Chemical Properties'!I48)&gt;0,'Chemical Properties'!I48,'Chemical Properties'!I11)*$B$8*$B$3*$B$7)/$B$6)-B22)</f>
        <v>961.52035515804164</v>
      </c>
      <c r="X54" s="105">
        <f>-IF(ABS('Chemical Properties'!J48)&gt;0,'Chemical Properties'!J48,'Chemical Properties'!J11)*B22</f>
        <v>-282.72727272727275</v>
      </c>
    </row>
    <row r="55" spans="5:24">
      <c r="E55" s="123"/>
      <c r="F55" s="114"/>
      <c r="G55" s="115"/>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Properties'!F12)/$F$8)^(2/3),IF($N$76&lt;14,IF($N$78&lt;0.3,0.000001+0.0144*$N$78^2.2*N55^(-0.5),0.000001+0.00341*$N$78*N55^(-0.5)),IF($N$76&lt;=51.2,(0.000000002605*$N$76+0.0000001277)*$N$43^2*(IF(ABS('Chemical Properties'!F49)&gt;0,'Chemical Properties'!F49,'Chemical Properties'!F12)/$F$8)^(2/3),0.000000261*$N$43^2*(IF(ABS('Chemical Properties'!F49)&gt;0,'Chemical Properties'!F49,'Chemical Properties'!F12)/$F$8)^(2/3))))</f>
        <v>5.4292023307185823E-6</v>
      </c>
      <c r="Q55" s="105">
        <f t="shared" si="2"/>
        <v>1.2411047560566277E-2</v>
      </c>
      <c r="R55" s="105">
        <f>IF(ABS('Chemical Properties'!E49)&gt;0,'Chemical Properties'!E49,'Chemical Properties'!E12)/($F$5*($B$4+273.15))</f>
        <v>3.0067674737209136</v>
      </c>
      <c r="S55" s="105">
        <f t="shared" si="3"/>
        <v>5.4284125607959393E-6</v>
      </c>
      <c r="T55" s="105">
        <f t="shared" si="4"/>
        <v>5.4284125607959393E-6</v>
      </c>
      <c r="U55" s="105">
        <f>0.000001*$F$9*'Chemical Properties'!N12</f>
        <v>1.5435259662477542E-5</v>
      </c>
      <c r="V55" s="105">
        <f t="shared" si="5"/>
        <v>2.2395704308347146</v>
      </c>
      <c r="W55" s="105">
        <f>((IF(ABS('Chemical Properties'!J49)&gt;0,'Chemical Properties'!J49,'Chemical Properties'!J12)/$B$6)*(T55*$B$3+($F$10*$B$10*$B$6*$N$79*U55)+($B$6))+((IF(ABS('Chemical Properties'!I49)&gt;0,'Chemical Properties'!I49,'Chemical Properties'!I12)*$B$8*$B$3*$B$7)/$B$6)-B23)</f>
        <v>242.43753559814076</v>
      </c>
      <c r="X55" s="105">
        <f>-IF(ABS('Chemical Properties'!J49)&gt;0,'Chemical Properties'!J49,'Chemical Properties'!J12)*B23</f>
        <v>-22.046017386959047</v>
      </c>
    </row>
    <row r="56" spans="5:24">
      <c r="E56" s="123"/>
      <c r="F56" s="114"/>
      <c r="G56" s="115"/>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Properties'!F13)/$F$8)^(2/3),IF($N$76&lt;14,IF($N$78&lt;0.3,0.000001+0.0144*$N$78^2.2*N56^(-0.5),0.000001+0.00341*$N$78*N56^(-0.5)),IF($N$76&lt;=51.2,(0.000000002605*$N$76+0.0000001277)*$N$43^2*(IF(ABS('Chemical Properties'!F50)&gt;0,'Chemical Properties'!F50,'Chemical Properties'!F13)/$F$8)^(2/3),0.000000261*$N$43^2*(IF(ABS('Chemical Properties'!F50)&gt;0,'Chemical Properties'!F50,'Chemical Properties'!F13)/$F$8)^(2/3))))</f>
        <v>6.4853427227306448E-6</v>
      </c>
      <c r="Q56" s="105">
        <f t="shared" si="2"/>
        <v>8.9407230392025902E-3</v>
      </c>
      <c r="R56" s="105">
        <f>IF(ABS('Chemical Properties'!E50)&gt;0,'Chemical Properties'!E50,'Chemical Properties'!E13)/($F$5*($B$4+273.15))</f>
        <v>7.3535809436306684E-8</v>
      </c>
      <c r="S56" s="105">
        <f t="shared" si="3"/>
        <v>6.5739666086242102E-10</v>
      </c>
      <c r="T56" s="105">
        <f t="shared" si="4"/>
        <v>6.5739666086242102E-10</v>
      </c>
      <c r="U56" s="105">
        <f>0.000001*$F$9*'Chemical Properties'!N13</f>
        <v>1.4405022463925467E-9</v>
      </c>
      <c r="V56" s="105">
        <f t="shared" si="5"/>
        <v>1.0001501098645709</v>
      </c>
      <c r="W56" s="105">
        <f>((IF(ABS('Chemical Properties'!J50)&gt;0,'Chemical Properties'!J50,'Chemical Properties'!J13)/$B$6)*(T56*$B$3+($F$10*$B$10*$B$6*$N$79*U56)+($B$6))+((IF(ABS('Chemical Properties'!I50)&gt;0,'Chemical Properties'!I50,'Chemical Properties'!I13)*$B$8*$B$3*$B$7)/$B$6)-B24)</f>
        <v>511.5420529735311</v>
      </c>
      <c r="X56" s="105">
        <f>-IF(ABS('Chemical Properties'!J50)&gt;0,'Chemical Properties'!J50,'Chemical Properties'!J13)*B24</f>
        <v>-289.76897689768975</v>
      </c>
    </row>
    <row r="57" spans="5:24">
      <c r="E57" s="124"/>
      <c r="F57" s="114"/>
      <c r="G57" s="115"/>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Properties'!F14)/$F$8)^(2/3),IF($N$76&lt;14,IF($N$78&lt;0.3,0.000001+0.0144*$N$78^2.2*N57^(-0.5),0.000001+0.00341*$N$78*N57^(-0.5)),IF($N$76&lt;=51.2,(0.000000002605*$N$76+0.0000001277)*$N$43^2*(IF(ABS('Chemical Properties'!F51)&gt;0,'Chemical Properties'!F51,'Chemical Properties'!F14)/$F$8)^(2/3),0.000000261*$N$43^2*(IF(ABS('Chemical Properties'!F51)&gt;0,'Chemical Properties'!F51,'Chemical Properties'!F14)/$F$8)^(2/3))))</f>
        <v>4.3703537512689264E-6</v>
      </c>
      <c r="Q57" s="105">
        <f t="shared" si="2"/>
        <v>5.5545121847447336E-3</v>
      </c>
      <c r="R57" s="105">
        <f>IF(ABS('Chemical Properties'!E51)&gt;0,'Chemical Properties'!E51,'Chemical Properties'!E14)/($F$5*($B$4+273.15))</f>
        <v>5.6390017353864438E-3</v>
      </c>
      <c r="S57" s="105">
        <f t="shared" si="3"/>
        <v>3.8352239165261083E-6</v>
      </c>
      <c r="T57" s="105">
        <f t="shared" si="4"/>
        <v>3.8352239165261083E-6</v>
      </c>
      <c r="U57" s="105">
        <f>0.000001*$F$9*'Chemical Properties'!N14</f>
        <v>2.4463237962930282E-6</v>
      </c>
      <c r="V57" s="105">
        <f t="shared" si="5"/>
        <v>1.8756546794891236</v>
      </c>
      <c r="W57" s="105">
        <f>((IF(ABS('Chemical Properties'!J51)&gt;0,'Chemical Properties'!J51,'Chemical Properties'!J14)/$B$6)*(T57*$B$3+($F$10*$B$10*$B$6*$N$79*U57)+($B$6))+((IF(ABS('Chemical Properties'!I51)&gt;0,'Chemical Properties'!I51,'Chemical Properties'!I14)*$B$8*$B$3*$B$7)/$B$6)-B25)</f>
        <v>11.459698833458756</v>
      </c>
      <c r="X57" s="105">
        <f>-IF(ABS('Chemical Properties'!J51)&gt;0,'Chemical Properties'!J51,'Chemical Properties'!J14)*B25</f>
        <v>-1.6386813840923011</v>
      </c>
    </row>
    <row r="58" spans="5:24">
      <c r="E58" s="124"/>
      <c r="F58" s="114"/>
      <c r="G58" s="115"/>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Properties'!F15)/$F$8)^(2/3),IF($N$76&lt;14,IF($N$78&lt;0.3,0.000001+0.0144*$N$78^2.2*N58^(-0.5),0.000001+0.00341*$N$78*N58^(-0.5)),IF($N$76&lt;=51.2,(0.000000002605*$N$76+0.0000001277)*$N$43^2*(IF(ABS('Chemical Properties'!F52)&gt;0,'Chemical Properties'!F52,'Chemical Properties'!F15)/$F$8)^(2/3),0.000000261*$N$43^2*(IF(ABS('Chemical Properties'!F52)&gt;0,'Chemical Properties'!F52,'Chemical Properties'!F15)/$F$8)^(2/3))))</f>
        <v>4.6642930006232235E-6</v>
      </c>
      <c r="Q58" s="105">
        <f t="shared" si="2"/>
        <v>6.1352572396511217E-3</v>
      </c>
      <c r="R58" s="105">
        <f>IF(ABS('Chemical Properties'!E52)&gt;0,'Chemical Properties'!E52,'Chemical Properties'!E15)/($F$5*($B$4+273.15))</f>
        <v>0.27126271773786503</v>
      </c>
      <c r="S58" s="105">
        <f t="shared" si="3"/>
        <v>4.6512573321593265E-6</v>
      </c>
      <c r="T58" s="105">
        <f t="shared" si="4"/>
        <v>4.6512573321593265E-6</v>
      </c>
      <c r="U58" s="105">
        <f>0.000001*$F$9*'Chemical Properties'!N15</f>
        <v>8.8820648529588301E-5</v>
      </c>
      <c r="V58" s="105">
        <f t="shared" si="5"/>
        <v>2.0631210944435674</v>
      </c>
      <c r="W58" s="105">
        <f>((IF(ABS('Chemical Properties'!J52)&gt;0,'Chemical Properties'!J52,'Chemical Properties'!J15)/$B$6)*(T58*$B$3+($F$10*$B$10*$B$6*$N$79*U58)+($B$6))+((IF(ABS('Chemical Properties'!I52)&gt;0,'Chemical Properties'!I52,'Chemical Properties'!I15)*$B$8*$B$3*$B$7)/$B$6)-B26)</f>
        <v>994.180096828356</v>
      </c>
      <c r="X58" s="105">
        <f>-IF(ABS('Chemical Properties'!J52)&gt;0,'Chemical Properties'!J52,'Chemical Properties'!J15)*B26</f>
        <v>-30.616666666666671</v>
      </c>
    </row>
    <row r="59" spans="5:24">
      <c r="E59" s="125"/>
      <c r="F59" s="114"/>
      <c r="G59" s="115"/>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Properties'!F16)/$F$8)^(2/3),IF($N$76&lt;14,IF($N$78&lt;0.3,0.000001+0.0144*$N$78^2.2*N59^(-0.5),0.000001+0.00341*$N$78*N59^(-0.5)),IF($N$76&lt;=51.2,(0.000000002605*$N$76+0.0000001277)*$N$43^2*(IF(ABS('Chemical Properties'!F53)&gt;0,'Chemical Properties'!F53,'Chemical Properties'!F16)/$F$8)^(2/3),0.000000261*$N$43^2*(IF(ABS('Chemical Properties'!F53)&gt;0,'Chemical Properties'!F53,'Chemical Properties'!F16)/$F$8)^(2/3))))</f>
        <v>4.8433715316388113E-6</v>
      </c>
      <c r="Q59" s="105">
        <f t="shared" si="2"/>
        <v>5.8967152778207988E-3</v>
      </c>
      <c r="R59" s="105">
        <f>IF(ABS('Chemical Properties'!E53)&gt;0,'Chemical Properties'!E53,'Chemical Properties'!E16)/($F$5*($B$4+273.15))</f>
        <v>1.621856911776091E-5</v>
      </c>
      <c r="S59" s="105">
        <f t="shared" si="3"/>
        <v>9.3784434857688702E-8</v>
      </c>
      <c r="T59" s="105">
        <f t="shared" si="4"/>
        <v>9.3784434857688702E-8</v>
      </c>
      <c r="U59" s="105">
        <f>0.000001*$F$9*'Chemical Properties'!N16</f>
        <v>4.7699512434615613E-6</v>
      </c>
      <c r="V59" s="105">
        <f t="shared" si="5"/>
        <v>1.0214758887753583</v>
      </c>
      <c r="W59" s="105">
        <f>((IF(ABS('Chemical Properties'!J53)&gt;0,'Chemical Properties'!J53,'Chemical Properties'!J16)/$B$6)*(T59*$B$3+($F$10*$B$10*$B$6*$N$79*U59)+($B$6))+((IF(ABS('Chemical Properties'!I53)&gt;0,'Chemical Properties'!I53,'Chemical Properties'!I16)*$B$8*$B$3*$B$7)/$B$6)-B27)</f>
        <v>1236.9617106016976</v>
      </c>
      <c r="X59" s="105">
        <f>-IF(ABS('Chemical Properties'!J53)&gt;0,'Chemical Properties'!J53,'Chemical Properties'!J16)*B27</f>
        <v>-7.4615384615384617</v>
      </c>
    </row>
    <row r="60" spans="5:24">
      <c r="E60" s="124"/>
      <c r="F60" s="114"/>
      <c r="G60" s="115"/>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Properties'!F17)/$F$8)^(2/3),IF($N$76&lt;14,IF($N$78&lt;0.3,0.000001+0.0144*$N$78^2.2*N60^(-0.5),0.000001+0.00341*$N$78*N60^(-0.5)),IF($N$76&lt;=51.2,(0.000000002605*$N$76+0.0000001277)*$N$43^2*(IF(ABS('Chemical Properties'!F54)&gt;0,'Chemical Properties'!F54,'Chemical Properties'!F17)/$F$8)^(2/3),0.000000261*$N$43^2*(IF(ABS('Chemical Properties'!F54)&gt;0,'Chemical Properties'!F54,'Chemical Properties'!F17)/$F$8)^(2/3))))</f>
        <v>4.3591405203464652E-6</v>
      </c>
      <c r="Q60" s="105">
        <f t="shared" si="2"/>
        <v>1.0716302747817506E-2</v>
      </c>
      <c r="R60" s="105">
        <f>IF(ABS('Chemical Properties'!E54)&gt;0,'Chemical Properties'!E54,'Chemical Properties'!E17)/($F$5*($B$4+273.15))</f>
        <v>4.9840439102439058</v>
      </c>
      <c r="S60" s="105">
        <f t="shared" si="3"/>
        <v>4.3587847748097463E-6</v>
      </c>
      <c r="T60" s="105">
        <f t="shared" si="4"/>
        <v>4.3587847748097463E-6</v>
      </c>
      <c r="U60" s="105">
        <f>0.000001*$F$9*'Chemical Properties'!N17</f>
        <v>1.579479304664707E-3</v>
      </c>
      <c r="V60" s="105">
        <f t="shared" si="5"/>
        <v>2.0163213639632711</v>
      </c>
      <c r="W60" s="105">
        <f>((IF(ABS('Chemical Properties'!J54)&gt;0,'Chemical Properties'!J54,'Chemical Properties'!J17)/$B$6)*(T60*$B$3+($F$10*$B$10*$B$6*$N$79*U60)+($B$6))+((IF(ABS('Chemical Properties'!I54)&gt;0,'Chemical Properties'!I54,'Chemical Properties'!I17)*$B$8*$B$3*$B$7)/$B$6)-B28)</f>
        <v>214.07333929049929</v>
      </c>
      <c r="X60" s="105">
        <f>-IF(ABS('Chemical Properties'!J54)&gt;0,'Chemical Properties'!J54,'Chemical Properties'!J17)*B28</f>
        <v>-10.41967452478112</v>
      </c>
    </row>
    <row r="61" spans="5:24">
      <c r="E61" s="125"/>
      <c r="F61" s="114"/>
      <c r="G61" s="115"/>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Properties'!F18)/$F$8)^(2/3),IF($N$76&lt;14,IF($N$78&lt;0.3,0.000001+0.0144*$N$78^2.2*N61^(-0.5),0.000001+0.00341*$N$78*N61^(-0.5)),IF($N$76&lt;=51.2,(0.000000002605*$N$76+0.0000001277)*$N$43^2*(IF(ABS('Chemical Properties'!F55)&gt;0,'Chemical Properties'!F55,'Chemical Properties'!F18)/$F$8)^(2/3),0.000000261*$N$43^2*(IF(ABS('Chemical Properties'!F55)&gt;0,'Chemical Properties'!F55,'Chemical Properties'!F18)/$F$8)^(2/3))))</f>
        <v>4.914079243746299E-6</v>
      </c>
      <c r="Q61" s="105">
        <f t="shared" si="2"/>
        <v>5.2730965406760462E-3</v>
      </c>
      <c r="R61" s="105">
        <f>IF(ABS('Chemical Properties'!E55)&gt;0,'Chemical Properties'!E55,'Chemical Properties'!E18)/($F$5*($B$4+273.15))</f>
        <v>6.618156667700924E-5</v>
      </c>
      <c r="S61" s="105">
        <f t="shared" si="3"/>
        <v>3.2584158934692379E-7</v>
      </c>
      <c r="T61" s="105">
        <f t="shared" si="4"/>
        <v>3.2584158934692379E-7</v>
      </c>
      <c r="U61" s="105">
        <f>0.000001*$F$9*'Chemical Properties'!N18</f>
        <v>1.5794793046647064E-7</v>
      </c>
      <c r="V61" s="105">
        <f t="shared" si="5"/>
        <v>1.0743951734307895</v>
      </c>
      <c r="W61" s="105">
        <f>((IF(ABS('Chemical Properties'!J55)&gt;0,'Chemical Properties'!J55,'Chemical Properties'!J18)/$B$6)*(T61*$B$3+($F$10*$B$10*$B$6*$N$79*U61)+($B$6))+((IF(ABS('Chemical Properties'!I55)&gt;0,'Chemical Properties'!I55,'Chemical Properties'!I18)*$B$8*$B$3*$B$7)/$B$6)-B29)</f>
        <v>292.18367972056996</v>
      </c>
      <c r="X61" s="105">
        <f>-IF(ABS('Chemical Properties'!J55)&gt;0,'Chemical Properties'!J55,'Chemical Properties'!J18)*B29</f>
        <v>-1.3529411764705883</v>
      </c>
    </row>
    <row r="62" spans="5:24">
      <c r="E62" s="126"/>
      <c r="F62" s="114"/>
      <c r="G62" s="115"/>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Properties'!F19)/$F$8)^(2/3),IF($N$76&lt;14,IF($N$78&lt;0.3,0.000001+0.0144*$N$78^2.2*N62^(-0.5),0.000001+0.00341*$N$78*N62^(-0.5)),IF($N$76&lt;=51.2,(0.000000002605*$N$76+0.0000001277)*$N$43^2*(IF(ABS('Chemical Properties'!F56)&gt;0,'Chemical Properties'!F56,'Chemical Properties'!F19)/$F$8)^(2/3),0.000000261*$N$43^2*(IF(ABS('Chemical Properties'!F56)&gt;0,'Chemical Properties'!F56,'Chemical Properties'!F19)/$F$8)^(2/3))))</f>
        <v>4.9281597120567902E-6</v>
      </c>
      <c r="Q62" s="105">
        <f t="shared" si="2"/>
        <v>5.374433322589185E-3</v>
      </c>
      <c r="R62" s="105">
        <f>IF(ABS('Chemical Properties'!E56)&gt;0,'Chemical Properties'!E56,'Chemical Properties'!E19)/($F$5*($B$4+273.15))</f>
        <v>0.24680162834678984</v>
      </c>
      <c r="S62" s="105">
        <f t="shared" si="3"/>
        <v>4.9099174678175767E-6</v>
      </c>
      <c r="T62" s="105">
        <f t="shared" si="4"/>
        <v>4.9099174678175767E-6</v>
      </c>
      <c r="U62" s="105">
        <f>0.000001*$F$9*'Chemical Properties'!N19</f>
        <v>2.3362210884676578E-4</v>
      </c>
      <c r="V62" s="105">
        <f t="shared" si="5"/>
        <v>2.1241162595045688</v>
      </c>
      <c r="W62" s="105">
        <f>((IF(ABS('Chemical Properties'!J56)&gt;0,'Chemical Properties'!J56,'Chemical Properties'!J19)/$B$6)*(T62*$B$3+($F$10*$B$10*$B$6*$N$79*U62)+($B$6))+((IF(ABS('Chemical Properties'!I56)&gt;0,'Chemical Properties'!I56,'Chemical Properties'!I19)*$B$8*$B$3*$B$7)/$B$6)-B30)</f>
        <v>564.65044039047484</v>
      </c>
      <c r="X62" s="105">
        <f>-IF(ABS('Chemical Properties'!J56)&gt;0,'Chemical Properties'!J56,'Chemical Properties'!J19)*B30</f>
        <v>-22.666666666666664</v>
      </c>
    </row>
    <row r="63" spans="5:24">
      <c r="E63" s="126"/>
      <c r="F63" s="114"/>
      <c r="G63" s="115"/>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Properties'!F20)/$F$8)^(2/3),IF($N$76&lt;14,IF($N$78&lt;0.3,0.000001+0.0144*$N$78^2.2*N63^(-0.5),0.000001+0.00341*$N$78*N63^(-0.5)),IF($N$76&lt;=51.2,(0.000000002605*$N$76+0.0000001277)*$N$43^2*(IF(ABS('Chemical Properties'!F57)&gt;0,'Chemical Properties'!F57,'Chemical Properties'!F20)/$F$8)^(2/3),0.000000261*$N$43^2*(IF(ABS('Chemical Properties'!F57)&gt;0,'Chemical Properties'!F57,'Chemical Properties'!F20)/$F$8)^(2/3))))</f>
        <v>5.3281902388488215E-6</v>
      </c>
      <c r="Q63" s="105">
        <f t="shared" si="2"/>
        <v>6.8431466683709979E-3</v>
      </c>
      <c r="R63" s="105">
        <f>IF(ABS('Chemical Properties'!E57)&gt;0,'Chemical Properties'!E57,'Chemical Properties'!E20)/($F$5*($B$4+273.15))</f>
        <v>2.267844153849265E-2</v>
      </c>
      <c r="S63" s="105">
        <f t="shared" si="3"/>
        <v>5.1513300658580768E-6</v>
      </c>
      <c r="T63" s="105">
        <f t="shared" si="4"/>
        <v>5.1513300658580768E-6</v>
      </c>
      <c r="U63" s="105">
        <f>0.000001*$F$9*'Chemical Properties'!N20</f>
        <v>1.2588788578478174E-5</v>
      </c>
      <c r="V63" s="105">
        <f t="shared" si="5"/>
        <v>2.1762714445290694</v>
      </c>
      <c r="W63" s="105">
        <f>((IF(ABS('Chemical Properties'!J57)&gt;0,'Chemical Properties'!J57,'Chemical Properties'!J20)/$B$6)*(T63*$B$3+($F$10*$B$10*$B$6*$N$79*U63)+($B$6))+((IF(ABS('Chemical Properties'!I57)&gt;0,'Chemical Properties'!I57,'Chemical Properties'!I20)*$B$8*$B$3*$B$7)/$B$6)-B31)</f>
        <v>275.35127738295682</v>
      </c>
      <c r="X63" s="105">
        <f>-IF(ABS('Chemical Properties'!J57)&gt;0,'Chemical Properties'!J57,'Chemical Properties'!J20)*B31</f>
        <v>-24.63925105656925</v>
      </c>
    </row>
    <row r="64" spans="5:24">
      <c r="E64" s="126"/>
      <c r="F64" s="114"/>
      <c r="G64" s="115"/>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Properties'!F21)/$F$8)^(2/3),IF($N$76&lt;14,IF($N$78&lt;0.3,0.000001+0.0144*$N$78^2.2*N64^(-0.5),0.000001+0.00341*$N$78*N64^(-0.5)),IF($N$76&lt;=51.2,(0.000000002605*$N$76+0.0000001277)*$N$43^2*(IF(ABS('Chemical Properties'!F58)&gt;0,'Chemical Properties'!F58,'Chemical Properties'!F21)/$F$8)^(2/3),0.000000261*$N$43^2*(IF(ABS('Chemical Properties'!F58)&gt;0,'Chemical Properties'!F58,'Chemical Properties'!F21)/$F$8)^(2/3))))</f>
        <v>4.5185187780284825E-6</v>
      </c>
      <c r="Q64" s="105">
        <f t="shared" si="2"/>
        <v>3.669698564085784E-3</v>
      </c>
      <c r="R64" s="105">
        <f>IF(ABS('Chemical Properties'!E58)&gt;0,'Chemical Properties'!E58,'Chemical Properties'!E21)/($F$5*($B$4+273.15))</f>
        <v>1.1438789302199128E-2</v>
      </c>
      <c r="S64" s="105">
        <f t="shared" si="3"/>
        <v>4.0794000718487484E-6</v>
      </c>
      <c r="T64" s="105">
        <f t="shared" si="4"/>
        <v>4.0794000718487484E-6</v>
      </c>
      <c r="U64" s="105">
        <f>0.000001*$F$9*'Chemical Properties'!N21</f>
        <v>9.0889547210159583E-4</v>
      </c>
      <c r="V64" s="105">
        <f t="shared" si="5"/>
        <v>1.943549078743684</v>
      </c>
      <c r="W64" s="105">
        <f>((IF(ABS('Chemical Properties'!J58)&gt;0,'Chemical Properties'!J58,'Chemical Properties'!J21)/$B$6)*(T64*$B$3+($F$10*$B$10*$B$6*$N$79*U64)+($B$6))+((IF(ABS('Chemical Properties'!I58)&gt;0,'Chemical Properties'!I58,'Chemical Properties'!I21)*$B$8*$B$3*$B$7)/$B$6)-B32)</f>
        <v>266.37115657384658</v>
      </c>
      <c r="X64" s="105">
        <f>-IF(ABS('Chemical Properties'!J58)&gt;0,'Chemical Properties'!J58,'Chemical Properties'!J21)*B32</f>
        <v>-13.571428571428573</v>
      </c>
    </row>
    <row r="65" spans="5:30">
      <c r="E65" s="126"/>
      <c r="F65" s="114"/>
      <c r="G65" s="115"/>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Properties'!F22)/$F$8)^(2/3),IF($N$76&lt;14,IF($N$78&lt;0.3,0.000001+0.0144*$N$78^2.2*N65^(-0.5),0.000001+0.00341*$N$78*N65^(-0.5)),IF($N$76&lt;=51.2,(0.000000002605*$N$76+0.0000001277)*$N$43^2*(IF(ABS('Chemical Properties'!F59)&gt;0,'Chemical Properties'!F59,'Chemical Properties'!F22)/$F$8)^(2/3),0.000000261*$N$43^2*(IF(ABS('Chemical Properties'!F59)&gt;0,'Chemical Properties'!F59,'Chemical Properties'!F22)/$F$8)^(2/3))))</f>
        <v>6.143498521240414E-6</v>
      </c>
      <c r="Q65" s="105">
        <f t="shared" si="2"/>
        <v>9.2937415429058326E-3</v>
      </c>
      <c r="R65" s="105">
        <f>IF(ABS('Chemical Properties'!E59)&gt;0,'Chemical Properties'!E59,'Chemical Properties'!E22)/($F$5*($B$4+273.15))</f>
        <v>2.0099586916721326</v>
      </c>
      <c r="S65" s="105">
        <f t="shared" si="3"/>
        <v>6.1414787090638732E-6</v>
      </c>
      <c r="T65" s="105">
        <f t="shared" si="4"/>
        <v>6.1414787090638732E-6</v>
      </c>
      <c r="U65" s="105">
        <f>0.000001*$F$9*'Chemical Properties'!N22</f>
        <v>9.9865145680190467E-7</v>
      </c>
      <c r="V65" s="105">
        <f t="shared" si="5"/>
        <v>2.4021774707568895</v>
      </c>
      <c r="W65" s="105">
        <f>((IF(ABS('Chemical Properties'!J59)&gt;0,'Chemical Properties'!J59,'Chemical Properties'!J22)/$B$6)*(T65*$B$3+($F$10*$B$10*$B$6*$N$79*U65)+($B$6))+((IF(ABS('Chemical Properties'!I59)&gt;0,'Chemical Properties'!I59,'Chemical Properties'!I22)*$B$8*$B$3*$B$7)/$B$6)-B33)</f>
        <v>234.34905350804951</v>
      </c>
      <c r="X65" s="105">
        <f>-IF(ABS('Chemical Properties'!J59)&gt;0,'Chemical Properties'!J59,'Chemical Properties'!J22)*B33</f>
        <v>-17.121913733084138</v>
      </c>
    </row>
    <row r="66" spans="5:30">
      <c r="E66" s="126"/>
      <c r="F66" s="114"/>
      <c r="G66" s="115"/>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Properties'!F23)/$F$8)^(2/3),IF($N$76&lt;14,IF($N$78&lt;0.3,0.000001+0.0144*$N$78^2.2*N66^(-0.5),0.000001+0.00341*$N$78*N66^(-0.5)),IF($N$76&lt;=51.2,(0.000000002605*$N$76+0.0000001277)*$N$43^2*(IF(ABS('Chemical Properties'!F60)&gt;0,'Chemical Properties'!F60,'Chemical Properties'!F23)/$F$8)^(2/3),0.000000261*$N$43^2*(IF(ABS('Chemical Properties'!F60)&gt;0,'Chemical Properties'!F60,'Chemical Properties'!F23)/$F$8)^(2/3))))</f>
        <v>5.1232276359205155E-6</v>
      </c>
      <c r="Q66" s="105">
        <f t="shared" si="2"/>
        <v>6.9146024331359747E-3</v>
      </c>
      <c r="R66" s="105">
        <f>IF(ABS('Chemical Properties'!E60)&gt;0,'Chemical Properties'!E60,'Chemical Properties'!E23)/($F$5*($B$4+273.15))</f>
        <v>5.7193946510995644E-2</v>
      </c>
      <c r="S66" s="105">
        <f t="shared" si="3"/>
        <v>5.0577067116616049E-6</v>
      </c>
      <c r="T66" s="105">
        <f t="shared" si="4"/>
        <v>5.0577067116616049E-6</v>
      </c>
      <c r="U66" s="105">
        <f>0.000001*$F$9*'Chemical Properties'!N23</f>
        <v>4.7699512434615613E-6</v>
      </c>
      <c r="V66" s="105">
        <f t="shared" si="5"/>
        <v>2.1547914770867549</v>
      </c>
      <c r="W66" s="105">
        <f>((IF(ABS('Chemical Properties'!J60)&gt;0,'Chemical Properties'!J60,'Chemical Properties'!J23)/$B$6)*(T66*$B$3+($F$10*$B$10*$B$6*$N$79*U66)+($B$6))+((IF(ABS('Chemical Properties'!I60)&gt;0,'Chemical Properties'!I60,'Chemical Properties'!I23)*$B$8*$B$3*$B$7)/$B$6)-B34)</f>
        <v>30.252205852596241</v>
      </c>
      <c r="X66" s="105">
        <f>-IF(ABS('Chemical Properties'!J60)&gt;0,'Chemical Properties'!J60,'Chemical Properties'!J23)*B34</f>
        <v>-2.1429</v>
      </c>
    </row>
    <row r="67" spans="5:30">
      <c r="E67" s="126"/>
      <c r="F67" s="114"/>
      <c r="G67" s="115"/>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Properties'!F24)/$F$8)^(2/3),IF($N$76&lt;14,IF($N$78&lt;0.3,0.000001+0.0144*$N$78^2.2*N67^(-0.5),0.000001+0.00341*$N$78*N67^(-0.5)),IF($N$76&lt;=51.2,(0.000000002605*$N$76+0.0000001277)*$N$43^2*(IF(ABS('Chemical Properties'!F61)&gt;0,'Chemical Properties'!F61,'Chemical Properties'!F24)/$F$8)^(2/3),0.000000261*$N$43^2*(IF(ABS('Chemical Properties'!F61)&gt;0,'Chemical Properties'!F61,'Chemical Properties'!F24)/$F$8)^(2/3))))</f>
        <v>5.0886694436758132E-6</v>
      </c>
      <c r="Q67" s="105">
        <f t="shared" si="2"/>
        <v>5.3238836901092802E-3</v>
      </c>
      <c r="R67" s="105">
        <f>IF(ABS('Chemical Properties'!E61)&gt;0,'Chemical Properties'!E61,'Chemical Properties'!E24)/($F$5*($B$4+273.15))</f>
        <v>1.5810040928396652E-9</v>
      </c>
      <c r="S67" s="105">
        <f t="shared" si="3"/>
        <v>8.4170679813355829E-12</v>
      </c>
      <c r="T67" s="105">
        <f t="shared" si="4"/>
        <v>8.4170679813355829E-12</v>
      </c>
      <c r="U67" s="105">
        <f>0.000001*$F$9*'Chemical Properties'!N24</f>
        <v>5.8683220531284451E-9</v>
      </c>
      <c r="V67" s="105">
        <f t="shared" si="5"/>
        <v>1.0000020003405341</v>
      </c>
      <c r="W67" s="105">
        <f>((IF(ABS('Chemical Properties'!J61)&gt;0,'Chemical Properties'!J61,'Chemical Properties'!J24)/$B$6)*(T67*$B$3+($F$10*$B$10*$B$6*$N$79*U67)+($B$6))+((IF(ABS('Chemical Properties'!I61)&gt;0,'Chemical Properties'!I61,'Chemical Properties'!I24)*$B$8*$B$3*$B$7)/$B$6)-B35)</f>
        <v>168.8453149017077</v>
      </c>
      <c r="X67" s="105">
        <f>-IF(ABS('Chemical Properties'!J61)&gt;0,'Chemical Properties'!J61,'Chemical Properties'!J24)*B35</f>
        <v>-70.909099999999995</v>
      </c>
    </row>
    <row r="68" spans="5:30">
      <c r="E68" s="126"/>
      <c r="F68" s="114"/>
      <c r="G68" s="115"/>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Properties'!F25)/$F$8)^(2/3),IF($N$76&lt;14,IF($N$78&lt;0.3,0.000001+0.0144*$N$78^2.2*N68^(-0.5),0.000001+0.00341*$N$78*N68^(-0.5)),IF($N$76&lt;=51.2,(0.000000002605*$N$76+0.0000001277)*$N$43^2*(IF(ABS('Chemical Properties'!F62)&gt;0,'Chemical Properties'!F62,'Chemical Properties'!F25)/$F$8)^(2/3),0.000000261*$N$43^2*(IF(ABS('Chemical Properties'!F62)&gt;0,'Chemical Properties'!F62,'Chemical Properties'!F25)/$F$8)^(2/3))))</f>
        <v>3.9058041835998683E-6</v>
      </c>
      <c r="Q68" s="105">
        <f t="shared" si="2"/>
        <v>5.4698389609916988E-3</v>
      </c>
      <c r="R68" s="105">
        <f>IF(ABS('Chemical Properties'!E62)&gt;0,'Chemical Properties'!E62,'Chemical Properties'!E25)/($F$5*($B$4+273.15))</f>
        <v>123.78404137736914</v>
      </c>
      <c r="S68" s="105">
        <f t="shared" si="3"/>
        <v>3.9057816526641127E-6</v>
      </c>
      <c r="T68" s="105">
        <f t="shared" si="4"/>
        <v>3.9057816526641127E-6</v>
      </c>
      <c r="U68" s="105">
        <f>0.000001*$F$9*'Chemical Properties'!N25</f>
        <v>0.10678590678677739</v>
      </c>
      <c r="V68" s="105">
        <f t="shared" si="5"/>
        <v>3.3226621218706969</v>
      </c>
      <c r="W68" s="105">
        <f>((IF(ABS('Chemical Properties'!J62)&gt;0,'Chemical Properties'!J62,'Chemical Properties'!J25)/$B$6)*(T68*$B$3+($F$10*$B$10*$B$6*$N$79*U68)+($B$6))+((IF(ABS('Chemical Properties'!I62)&gt;0,'Chemical Properties'!I62,'Chemical Properties'!I25)*$B$8*$B$3*$B$7)/$B$6)-B36)</f>
        <v>227.68498480635057</v>
      </c>
      <c r="X68" s="105">
        <f>-IF(ABS('Chemical Properties'!J62)&gt;0,'Chemical Properties'!J62,'Chemical Properties'!J25)*B36</f>
        <v>-10.41967452478112</v>
      </c>
    </row>
    <row r="69" spans="5:30">
      <c r="E69" s="126"/>
      <c r="F69" s="114"/>
      <c r="G69" s="115"/>
      <c r="M69" s="65" t="s">
        <v>59</v>
      </c>
      <c r="N69" s="105" t="e">
        <f>$F$3/($F$4*IF(ABS('Chemical Properties'!F63)&gt;0,'Chemical Properties'!F63,'Chemical Properties'!F26))</f>
        <v>#DIV/0!</v>
      </c>
      <c r="O69" s="105" t="e">
        <f>$F$6/($F$7*IF(ABS('Chemical Properties'!G63)&gt;0,'Chemical Properties'!G63,'Chemical Properties'!G26))</f>
        <v>#DIV/0!</v>
      </c>
      <c r="P69" s="105">
        <f>IF($N$43&lt;3.25,0.00000278*(IF(ABS('Chemical Properties'!F63)&gt;0,'Chemical Properties'!F63,'Chemical Properties'!F26)/$F$8)^(2/3),IF($N$76&lt;14,IF($N$78&lt;0.3,0.000001+0.0144*$N$78^2.2*N69^(-0.5),0.000001+0.00341*$N$78*N69^(-0.5)),IF($N$76&lt;=51.2,(0.000000002605*$N$76+0.0000001277)*$N$43^2*(IF(ABS('Chemical Properties'!F63)&gt;0,'Chemical Properties'!F63,'Chemical Properties'!F26)/$F$8)^(2/3),0.000000261*$N$43^2*(IF(ABS('Chemical Properties'!F63)&gt;0,'Chemical Properties'!F63,'Chemical Properties'!F26)/$F$8)^(2/3))))</f>
        <v>0</v>
      </c>
      <c r="Q69" s="105" t="e">
        <f t="shared" si="2"/>
        <v>#DIV/0!</v>
      </c>
      <c r="R69" s="105">
        <f>IF(ABS('Chemical Properties'!E63)&gt;0,'Chemical Properties'!E63,'Chemical Properties'!E26)/($F$5*($B$4+273.15))</f>
        <v>0</v>
      </c>
      <c r="S69" s="105" t="e">
        <f t="shared" si="3"/>
        <v>#DIV/0!</v>
      </c>
      <c r="T69" s="105" t="e">
        <f t="shared" si="4"/>
        <v>#DIV/0!</v>
      </c>
      <c r="U69" s="105">
        <f>0.000001*$F$9*'Chemical Properties'!N26</f>
        <v>1.5794793046647064E-7</v>
      </c>
      <c r="V69" s="105" t="e">
        <f t="shared" si="5"/>
        <v>#DIV/0!</v>
      </c>
      <c r="W69" s="105" t="e">
        <f>((IF(ABS('Chemical Properties'!J63)&gt;0,'Chemical Properties'!J63,'Chemical Properties'!J26)/$B$6)*(T69*$B$3+($F$10*$B$10*$B$6*$N$79*U69)+($B$6))+((IF(ABS('Chemical Properties'!I63)&gt;0,'Chemical Properties'!I63,'Chemical Properties'!I26)*$B$8*$B$3*$B$7)/$B$6)-B37)</f>
        <v>#DIV/0!</v>
      </c>
      <c r="X69" s="105">
        <f>-IF(ABS('Chemical Properties'!J63)&gt;0,'Chemical Properties'!J63,'Chemical Properties'!J26)*B37</f>
        <v>0</v>
      </c>
    </row>
    <row r="70" spans="5:30">
      <c r="E70" s="126"/>
      <c r="F70" s="114"/>
      <c r="G70" s="115"/>
      <c r="M70" s="81" t="s">
        <v>60</v>
      </c>
      <c r="N70" s="105" t="e">
        <f>$F$3/($F$4*IF(ABS('Chemical Properties'!F64)&gt;0,'Chemical Properties'!F64,'Chemical Properties'!F27))</f>
        <v>#DIV/0!</v>
      </c>
      <c r="O70" s="105" t="e">
        <f>$F$6/($F$7*IF(ABS('Chemical Properties'!G64)&gt;0,'Chemical Properties'!G64,'Chemical Properties'!G27))</f>
        <v>#DIV/0!</v>
      </c>
      <c r="P70" s="105">
        <f>IF($N$43&lt;3.25,0.00000278*(IF(ABS('Chemical Properties'!F64)&gt;0,'Chemical Properties'!F64,'Chemical Properties'!F27)/$F$8)^(2/3),IF($N$76&lt;14,IF($N$78&lt;0.3,0.000001+0.0144*$N$78^2.2*N70^(-0.5),0.000001+0.00341*$N$78*N70^(-0.5)),IF($N$76&lt;=51.2,(0.000000002605*$N$76+0.0000001277)*$N$43^2*(IF(ABS('Chemical Properties'!F64)&gt;0,'Chemical Properties'!F64,'Chemical Properties'!F27)/$F$8)^(2/3),0.000000261*$N$43^2*(IF(ABS('Chemical Properties'!F64)&gt;0,'Chemical Properties'!F64,'Chemical Properties'!F27)/$F$8)^(2/3))))</f>
        <v>0</v>
      </c>
      <c r="Q70" s="105" t="e">
        <f t="shared" si="2"/>
        <v>#DIV/0!</v>
      </c>
      <c r="R70" s="105">
        <f>IF(ABS('Chemical Properties'!E64)&gt;0,'Chemical Properties'!E64,'Chemical Properties'!E27)/($F$5*($B$4+273.15))</f>
        <v>0</v>
      </c>
      <c r="S70" s="105" t="e">
        <f t="shared" si="3"/>
        <v>#DIV/0!</v>
      </c>
      <c r="T70" s="105" t="e">
        <f t="shared" si="4"/>
        <v>#DIV/0!</v>
      </c>
      <c r="U70" s="105">
        <f>0.000001*$F$9*'Chemical Properties'!N27</f>
        <v>1.5794793046647064E-7</v>
      </c>
      <c r="V70" s="105" t="e">
        <f t="shared" si="5"/>
        <v>#DIV/0!</v>
      </c>
      <c r="W70" s="105" t="e">
        <f>((IF(ABS('Chemical Properties'!J64)&gt;0,'Chemical Properties'!J64,'Chemical Properties'!J27)/$B$6)*(T70*$B$3+($F$10*$B$10*$B$6*$N$79*U70)+($B$6))+((IF(ABS('Chemical Properties'!I64)&gt;0,'Chemical Properties'!I64,'Chemical Properties'!I27)*$B$8*$B$3*$B$7)/$B$6)-B38)</f>
        <v>#DIV/0!</v>
      </c>
      <c r="X70" s="105">
        <f>-IF(ABS('Chemical Properties'!J64)&gt;0,'Chemical Properties'!J64,'Chemical Properties'!J27)*B38</f>
        <v>0</v>
      </c>
    </row>
    <row r="71" spans="5:30">
      <c r="E71" s="126"/>
      <c r="F71" s="114"/>
      <c r="G71" s="115"/>
      <c r="M71" s="65" t="s">
        <v>61</v>
      </c>
      <c r="N71" s="105" t="e">
        <f>$F$3/($F$4*IF(ABS('Chemical Properties'!F65)&gt;0,'Chemical Properties'!F65,'Chemical Properties'!F28))</f>
        <v>#DIV/0!</v>
      </c>
      <c r="O71" s="105" t="e">
        <f>$F$6/($F$7*IF(ABS('Chemical Properties'!G65)&gt;0,'Chemical Properties'!G65,'Chemical Properties'!G28))</f>
        <v>#DIV/0!</v>
      </c>
      <c r="P71" s="105">
        <f>IF($N$43&lt;3.25,0.00000278*(IF(ABS('Chemical Properties'!F65)&gt;0,'Chemical Properties'!F65,'Chemical Properties'!F28)/$F$8)^(2/3),IF($N$76&lt;14,IF($N$78&lt;0.3,0.000001+0.0144*$N$78^2.2*N71^(-0.5),0.000001+0.00341*$N$78*N71^(-0.5)),IF($N$76&lt;=51.2,(0.000000002605*$N$76+0.0000001277)*$N$43^2*(IF(ABS('Chemical Properties'!F65)&gt;0,'Chemical Properties'!F65,'Chemical Properties'!F28)/$F$8)^(2/3),0.000000261*$N$43^2*(IF(ABS('Chemical Properties'!F65)&gt;0,'Chemical Properties'!F65,'Chemical Properties'!F28)/$F$8)^(2/3))))</f>
        <v>0</v>
      </c>
      <c r="Q71" s="105" t="e">
        <f t="shared" si="2"/>
        <v>#DIV/0!</v>
      </c>
      <c r="R71" s="105">
        <f>IF(ABS('Chemical Properties'!E65)&gt;0,'Chemical Properties'!E65,'Chemical Properties'!E28)/($F$5*($B$4+273.15))</f>
        <v>0</v>
      </c>
      <c r="S71" s="105" t="e">
        <f t="shared" si="3"/>
        <v>#DIV/0!</v>
      </c>
      <c r="T71" s="105" t="e">
        <f t="shared" si="4"/>
        <v>#DIV/0!</v>
      </c>
      <c r="U71" s="105">
        <f>0.000001*$F$9*'Chemical Properties'!N28</f>
        <v>1.5794793046647064E-7</v>
      </c>
      <c r="V71" s="105" t="e">
        <f t="shared" si="5"/>
        <v>#DIV/0!</v>
      </c>
      <c r="W71" s="105" t="e">
        <f>((IF(ABS('Chemical Properties'!J65)&gt;0,'Chemical Properties'!J65,'Chemical Properties'!J28)/$B$6)*(T71*$B$3+($F$10*$B$10*$B$6*$N$79*U71)+($B$6))+((IF(ABS('Chemical Properties'!I65)&gt;0,'Chemical Properties'!I65,'Chemical Properties'!I28)*$B$8*$B$3*$B$7)/$B$6)-B39)</f>
        <v>#DIV/0!</v>
      </c>
      <c r="X71" s="105">
        <f>-IF(ABS('Chemical Properties'!J65)&gt;0,'Chemical Properties'!J65,'Chemical Properties'!J28)*B39</f>
        <v>0</v>
      </c>
    </row>
    <row r="72" spans="5:30">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Properties'!F29)/$F$8)^(2/3),IF($N$76&lt;14,IF($N$78&lt;0.3,0.000001+0.0144*$N$78^2.2*N72^(-0.5),0.000001+0.00341*$N$78*N72^(-0.5)),IF($N$76&lt;=51.2,(0.000000002605*$N$76+0.0000001277)*$N$43^2*(IF(ABS('Chemical Properties'!F66)&gt;0,'Chemical Properties'!F66,'Chemical Properties'!F29)/$F$8)^(2/3),0.000000261*$N$43^2*(IF(ABS('Chemical Properties'!F66)&gt;0,'Chemical Properties'!F66,'Chemical Properties'!F29)/$F$8)^(2/3))))</f>
        <v>5.2603140491996964E-6</v>
      </c>
      <c r="Q72" s="105">
        <f t="shared" si="2"/>
        <v>6.6991190803887875E-3</v>
      </c>
      <c r="R72" s="105">
        <f>IF(ABS('Chemical Properties'!E66)&gt;0,'Chemical Properties'!E66,'Chemical Properties'!E29)/($F$5*($B$4+273.15))</f>
        <v>38.810177989604185</v>
      </c>
      <c r="S72" s="105">
        <f t="shared" si="3"/>
        <v>5.26020762234506E-6</v>
      </c>
      <c r="T72" s="105">
        <f t="shared" si="4"/>
        <v>5.26020762234506E-6</v>
      </c>
      <c r="U72" s="105">
        <f>0.000001*$F$9*'Chemical Properties'!N29</f>
        <v>1.226066256020671E-4</v>
      </c>
      <c r="V72" s="105">
        <f t="shared" si="5"/>
        <v>2.2026035731540858</v>
      </c>
      <c r="W72" s="105">
        <f>((IF(ABS('Chemical Properties'!J66)&gt;0,'Chemical Properties'!J66,'Chemical Properties'!J29)/$B$6)*(T72*$B$3+($F$10*$B$10*$B$6*$N$79*U72)+($B$6))+((IF(ABS('Chemical Properties'!I66)&gt;0,'Chemical Properties'!I66,'Chemical Properties'!I29)*$B$8*$B$3*$B$7)/$B$6)-B40)</f>
        <v>216.01433928002479</v>
      </c>
      <c r="X72" s="105">
        <f>-IF(ABS('Chemical Properties'!J66)&gt;0,'Chemical Properties'!J66,'Chemical Properties'!J29)*B40</f>
        <v>-10.41967452478112</v>
      </c>
    </row>
    <row r="74" spans="5:30">
      <c r="M74" s="91"/>
      <c r="N74" s="107"/>
      <c r="O74" s="107"/>
      <c r="P74" s="107"/>
      <c r="Q74" s="107"/>
      <c r="R74" s="107"/>
      <c r="S74" s="107"/>
      <c r="T74" s="107"/>
      <c r="U74" s="107"/>
      <c r="V74" s="107"/>
      <c r="W74" s="107"/>
      <c r="X74" s="107"/>
      <c r="Y74" s="107"/>
      <c r="Z74" s="107"/>
      <c r="AA74" s="107"/>
      <c r="AB74" s="107"/>
      <c r="AC74" s="107"/>
      <c r="AD74" s="107"/>
    </row>
    <row r="75" spans="5:30">
      <c r="M75" s="55"/>
      <c r="N75" s="107"/>
      <c r="O75" s="107"/>
      <c r="P75" s="107"/>
      <c r="Q75" s="107"/>
      <c r="R75" s="107"/>
      <c r="S75" s="107"/>
      <c r="T75" s="107"/>
      <c r="U75" s="107"/>
      <c r="V75" s="107"/>
      <c r="W75" s="107"/>
      <c r="X75" s="106"/>
      <c r="Y75" s="106"/>
      <c r="Z75" s="106"/>
      <c r="AA75" s="106"/>
    </row>
    <row r="76" spans="5:30">
      <c r="M76" s="71" t="s">
        <v>54</v>
      </c>
      <c r="N76" s="108">
        <f>2*($B$3/PI())^0.5/$B$7</f>
        <v>39.894228040143268</v>
      </c>
      <c r="P76" s="107"/>
      <c r="Q76" s="107"/>
      <c r="R76" s="107"/>
      <c r="S76" s="107"/>
      <c r="T76" s="107"/>
      <c r="U76" s="107"/>
      <c r="V76" s="107"/>
      <c r="W76" s="107"/>
      <c r="X76" s="106"/>
      <c r="Y76" s="106"/>
      <c r="Z76" s="106"/>
      <c r="AA76" s="106"/>
    </row>
    <row r="77" spans="5:30">
      <c r="M77" s="71" t="s">
        <v>55</v>
      </c>
      <c r="N77" s="108">
        <f>2*(B3/3.14)^(0.5)</f>
        <v>159.61737689352444</v>
      </c>
      <c r="O77" s="107"/>
      <c r="P77" s="107"/>
      <c r="Q77" s="107"/>
      <c r="R77" s="107"/>
      <c r="S77" s="107"/>
      <c r="T77" s="107"/>
      <c r="U77" s="107"/>
      <c r="V77" s="107"/>
      <c r="W77" s="106"/>
      <c r="X77" s="106"/>
      <c r="Y77" s="106"/>
      <c r="Z77" s="106"/>
      <c r="AA77" s="106"/>
    </row>
    <row r="78" spans="5:30">
      <c r="M78" s="71" t="s">
        <v>87</v>
      </c>
      <c r="N78" s="108">
        <f>0.01*$N$43*(6.1+0.63*$N$43)^0.5</f>
        <v>0.13347348144481735</v>
      </c>
      <c r="O78" s="107"/>
      <c r="P78" s="107"/>
      <c r="Q78" s="107"/>
      <c r="R78" s="107"/>
      <c r="S78" s="107"/>
      <c r="T78" s="107"/>
      <c r="U78" s="107"/>
      <c r="V78" s="107"/>
      <c r="W78" s="106"/>
      <c r="X78" s="106"/>
      <c r="Y78" s="106"/>
      <c r="Z78" s="106"/>
      <c r="AA78" s="106"/>
    </row>
    <row r="79" spans="5:30">
      <c r="M79" s="71" t="s">
        <v>273</v>
      </c>
      <c r="N79" s="108">
        <f>IF((0.02*B8*B3*B7/3600)/(B10*B6)&gt;1,1,(0.02*B8*B3*B7/3600)/(B10*B6))</f>
        <v>1</v>
      </c>
      <c r="O79" s="107"/>
      <c r="P79" s="107"/>
      <c r="Q79" s="107"/>
      <c r="R79" s="107"/>
      <c r="S79" s="107"/>
      <c r="T79" s="107"/>
      <c r="U79" s="107"/>
      <c r="V79" s="107"/>
      <c r="W79" s="106"/>
      <c r="X79" s="106"/>
      <c r="Y79" s="106"/>
      <c r="Z79" s="106"/>
      <c r="AA79" s="106"/>
    </row>
    <row r="80" spans="5:30">
      <c r="N80" s="106"/>
    </row>
    <row r="82" spans="13:23">
      <c r="M82" s="307" t="s">
        <v>159</v>
      </c>
      <c r="N82" s="307"/>
      <c r="O82" s="307"/>
      <c r="P82" s="307"/>
      <c r="Q82" s="307"/>
      <c r="R82" s="307"/>
      <c r="S82" s="307"/>
      <c r="T82" s="307"/>
      <c r="U82" s="147"/>
      <c r="V82" s="147"/>
      <c r="W82" s="147"/>
    </row>
    <row r="83" spans="13:23" ht="38.25">
      <c r="M83" s="128" t="s">
        <v>153</v>
      </c>
      <c r="N83" s="143" t="s">
        <v>155</v>
      </c>
      <c r="O83" s="129" t="s">
        <v>156</v>
      </c>
      <c r="P83" s="129" t="s">
        <v>157</v>
      </c>
      <c r="Q83" s="144" t="s">
        <v>175</v>
      </c>
      <c r="R83" s="144" t="s">
        <v>177</v>
      </c>
      <c r="S83" s="148" t="s">
        <v>158</v>
      </c>
      <c r="T83" s="148" t="s">
        <v>154</v>
      </c>
      <c r="U83" s="149" t="s">
        <v>178</v>
      </c>
      <c r="V83" s="149" t="s">
        <v>176</v>
      </c>
      <c r="W83" s="150" t="s">
        <v>180</v>
      </c>
    </row>
    <row r="84" spans="13:23">
      <c r="M84" s="60" t="s">
        <v>17</v>
      </c>
      <c r="N84" s="72">
        <f t="shared" ref="N84:N105" si="6">$B$6*B15</f>
        <v>8.7599999999999997E-2</v>
      </c>
      <c r="O84" s="127">
        <f>M3*($B$6)</f>
        <v>2.2844512606490439E-2</v>
      </c>
      <c r="P84" s="127">
        <f>K3</f>
        <v>6.9713326723890995E-3</v>
      </c>
      <c r="Q84" s="127">
        <f>M3*U47*B$10*F$10*$N$79</f>
        <v>1.076208774958813E-7</v>
      </c>
      <c r="R84" s="127">
        <f>($B$3*$B$7)*(IF(ABS('Chemical Properties'!I41)&gt;0,'Chemical Properties'!I41,'Chemical Properties'!I4))*$B$8*M3/(IF(ABS('Chemical Properties'!J41)&gt;0,'Chemical Properties'!J41,'Chemical Properties'!J4)+M3)</f>
        <v>5.7784145293530625E-2</v>
      </c>
      <c r="S84" s="130">
        <f t="shared" ref="S84:S105" si="7">O84/N84*100</f>
        <v>26.078210738002781</v>
      </c>
      <c r="T84" s="130">
        <f t="shared" ref="T84:T105" si="8">P84/N84*100</f>
        <v>7.9581423200788812</v>
      </c>
      <c r="U84" s="130">
        <f t="shared" ref="U84:U105" si="9">R84/N84*100</f>
        <v>65.963636179829493</v>
      </c>
      <c r="V84" s="142">
        <f t="shared" ref="V84:V105" si="10">Q84/N84*100</f>
        <v>1.2285488298616589E-4</v>
      </c>
      <c r="W84" s="130">
        <f>(O84+P84+Q84+R84)/N84*100</f>
        <v>100.00011209279414</v>
      </c>
    </row>
    <row r="85" spans="13:23">
      <c r="M85" s="62" t="s">
        <v>6</v>
      </c>
      <c r="N85" s="72">
        <f t="shared" si="6"/>
        <v>8.7599999999999997E-2</v>
      </c>
      <c r="O85" s="127">
        <f t="shared" ref="O85:O109" si="11">M4*($B$6)</f>
        <v>4.4131623735189918E-3</v>
      </c>
      <c r="P85" s="127">
        <f t="shared" ref="P85:P105" si="12">K4</f>
        <v>5.1087489282792943E-3</v>
      </c>
      <c r="Q85" s="127">
        <f t="shared" ref="Q85:Q109" si="13">M4*U48*B$10*F$10*$N$79</f>
        <v>1.4383498712746143E-5</v>
      </c>
      <c r="R85" s="127">
        <f>($B$3*$B$7)*(IF(ABS('Chemical Properties'!I42)&gt;0,'Chemical Properties'!I42,'Chemical Properties'!I5))*$B$8*M4/(IF(ABS('Chemical Properties'!J42)&gt;0,'Chemical Properties'!J42,'Chemical Properties'!J5)+M4)</f>
        <v>7.8076828703723511E-2</v>
      </c>
      <c r="S85" s="130">
        <f t="shared" si="7"/>
        <v>5.0378565907751049</v>
      </c>
      <c r="T85" s="130">
        <f t="shared" si="8"/>
        <v>5.8319051692686008</v>
      </c>
      <c r="U85" s="130">
        <f t="shared" si="9"/>
        <v>89.128799890095337</v>
      </c>
      <c r="V85" s="142">
        <f t="shared" si="10"/>
        <v>1.6419519078477333E-2</v>
      </c>
      <c r="W85" s="130">
        <f t="shared" ref="W85:W105" si="14">(O85+P85+Q85+R85)/N85*100</f>
        <v>100.01498116921752</v>
      </c>
    </row>
    <row r="86" spans="13:23">
      <c r="M86" s="62" t="s">
        <v>13</v>
      </c>
      <c r="N86" s="72">
        <f t="shared" si="6"/>
        <v>8.7599999999999997E-2</v>
      </c>
      <c r="O86" s="127">
        <f t="shared" si="11"/>
        <v>6.5070441148614242E-3</v>
      </c>
      <c r="P86" s="127">
        <f t="shared" si="12"/>
        <v>7.6577446479254687E-3</v>
      </c>
      <c r="Q86" s="127">
        <f t="shared" si="13"/>
        <v>1.5721659393506422E-5</v>
      </c>
      <c r="R86" s="127">
        <f>($B$3*$B$7)*(IF(ABS('Chemical Properties'!I43)&gt;0,'Chemical Properties'!I43,'Chemical Properties'!I6))*$B$8*M5/(IF(ABS('Chemical Properties'!J43)&gt;0,'Chemical Properties'!J43,'Chemical Properties'!J6)+M5)</f>
        <v>7.3433834019853594E-2</v>
      </c>
      <c r="S86" s="130">
        <f t="shared" si="7"/>
        <v>7.4281325512116716</v>
      </c>
      <c r="T86" s="130">
        <f t="shared" si="8"/>
        <v>8.7417176346181158</v>
      </c>
      <c r="U86" s="130">
        <f t="shared" si="9"/>
        <v>83.828577648234699</v>
      </c>
      <c r="V86" s="142">
        <f t="shared" si="10"/>
        <v>1.7947099764276737E-2</v>
      </c>
      <c r="W86" s="130">
        <f t="shared" si="14"/>
        <v>100.01637493382876</v>
      </c>
    </row>
    <row r="87" spans="13:23">
      <c r="M87" s="60" t="s">
        <v>69</v>
      </c>
      <c r="N87" s="72">
        <f t="shared" si="6"/>
        <v>8.7599999999999997E-2</v>
      </c>
      <c r="O87" s="127">
        <f t="shared" si="11"/>
        <v>2.0276453084189169E-2</v>
      </c>
      <c r="P87" s="127">
        <f t="shared" si="12"/>
        <v>1.7050154406360228E-2</v>
      </c>
      <c r="Q87" s="127">
        <f t="shared" si="13"/>
        <v>9.3348344263013238E-7</v>
      </c>
      <c r="R87" s="127">
        <f>($B$3*$B$7)*(IF(ABS('Chemical Properties'!I44)&gt;0,'Chemical Properties'!I44,'Chemical Properties'!I7))*$B$8*M6/(IF(ABS('Chemical Properties'!J44)&gt;0,'Chemical Properties'!J44,'Chemical Properties'!J7)+M6)</f>
        <v>5.0273310736301383E-2</v>
      </c>
      <c r="S87" s="130">
        <f t="shared" si="7"/>
        <v>23.146635940855216</v>
      </c>
      <c r="T87" s="130">
        <f t="shared" si="8"/>
        <v>19.463646582603001</v>
      </c>
      <c r="U87" s="130">
        <f t="shared" si="9"/>
        <v>57.389624128197923</v>
      </c>
      <c r="V87" s="142">
        <f t="shared" si="10"/>
        <v>1.0656203682992379E-3</v>
      </c>
      <c r="W87" s="130">
        <f t="shared" si="14"/>
        <v>100.00097227202444</v>
      </c>
    </row>
    <row r="88" spans="13:23">
      <c r="M88" s="62" t="s">
        <v>9</v>
      </c>
      <c r="N88" s="72">
        <f t="shared" si="6"/>
        <v>0.876</v>
      </c>
      <c r="O88" s="127">
        <f t="shared" si="11"/>
        <v>6.0771970763635642E-2</v>
      </c>
      <c r="P88" s="127">
        <f t="shared" si="12"/>
        <v>5.6495764019511868E-2</v>
      </c>
      <c r="Q88" s="127">
        <f t="shared" si="13"/>
        <v>3.3637053991648325E-3</v>
      </c>
      <c r="R88" s="127">
        <f>($B$3*$B$7)*(IF(ABS('Chemical Properties'!I45)&gt;0,'Chemical Properties'!I45,'Chemical Properties'!I8))*$B$8*M7/(IF(ABS('Chemical Properties'!J45)&gt;0,'Chemical Properties'!J45,'Chemical Properties'!J8)+M7)</f>
        <v>0.75843760462388221</v>
      </c>
      <c r="S88" s="130">
        <f t="shared" si="7"/>
        <v>6.9374395848899137</v>
      </c>
      <c r="T88" s="130">
        <f t="shared" si="8"/>
        <v>6.4492881300812641</v>
      </c>
      <c r="U88" s="130">
        <f t="shared" si="9"/>
        <v>86.579635231036775</v>
      </c>
      <c r="V88" s="142">
        <f t="shared" si="10"/>
        <v>0.38398463460785759</v>
      </c>
      <c r="W88" s="130">
        <f t="shared" si="14"/>
        <v>100.3503475806158</v>
      </c>
    </row>
    <row r="89" spans="13:23">
      <c r="M89" s="63" t="s">
        <v>7</v>
      </c>
      <c r="N89" s="72">
        <f t="shared" si="6"/>
        <v>8.7599999999999997E-2</v>
      </c>
      <c r="O89" s="127">
        <f t="shared" si="11"/>
        <v>2.2816909313015049E-3</v>
      </c>
      <c r="P89" s="127">
        <f t="shared" si="12"/>
        <v>2.1359174321240754E-3</v>
      </c>
      <c r="Q89" s="127">
        <f t="shared" si="13"/>
        <v>2.0959042984732457E-4</v>
      </c>
      <c r="R89" s="127">
        <f>($B$3*$B$7)*(IF(ABS('Chemical Properties'!I46)&gt;0,'Chemical Properties'!I46,'Chemical Properties'!I9))*$B$8*M8/(IF(ABS('Chemical Properties'!J46)&gt;0,'Chemical Properties'!J46,'Chemical Properties'!J9)+M8)</f>
        <v>8.3164031514937495E-2</v>
      </c>
      <c r="S89" s="130">
        <f t="shared" si="7"/>
        <v>2.6046700129012614</v>
      </c>
      <c r="T89" s="130">
        <f t="shared" si="8"/>
        <v>2.438261908817438</v>
      </c>
      <c r="U89" s="130">
        <f t="shared" si="9"/>
        <v>94.936109035316775</v>
      </c>
      <c r="V89" s="142">
        <f t="shared" si="10"/>
        <v>0.23925848156087279</v>
      </c>
      <c r="W89" s="130">
        <f t="shared" si="14"/>
        <v>100.21829943859635</v>
      </c>
    </row>
    <row r="90" spans="13:23">
      <c r="M90" s="62" t="s">
        <v>8</v>
      </c>
      <c r="N90" s="72">
        <f t="shared" si="6"/>
        <v>8.7599999999999997E-2</v>
      </c>
      <c r="O90" s="127">
        <f t="shared" si="11"/>
        <v>3.0902241777372432E-3</v>
      </c>
      <c r="P90" s="127">
        <f t="shared" si="12"/>
        <v>3.0759005854081537E-3</v>
      </c>
      <c r="Q90" s="127">
        <f t="shared" si="13"/>
        <v>1.0306343623677206E-4</v>
      </c>
      <c r="R90" s="127">
        <f>($B$3*$B$7)*(IF(ABS('Chemical Properties'!I47)&gt;0,'Chemical Properties'!I47,'Chemical Properties'!I10))*$B$8*M9/(IF(ABS('Chemical Properties'!J47)&gt;0,'Chemical Properties'!J47,'Chemical Properties'!J10)+M9)</f>
        <v>8.1424846879848162E-2</v>
      </c>
      <c r="S90" s="130">
        <f t="shared" si="7"/>
        <v>3.5276531709329264</v>
      </c>
      <c r="T90" s="130">
        <f t="shared" si="8"/>
        <v>3.5113020381371616</v>
      </c>
      <c r="U90" s="130">
        <f t="shared" si="9"/>
        <v>92.950738447315246</v>
      </c>
      <c r="V90" s="142">
        <f t="shared" si="10"/>
        <v>0.11765232447120098</v>
      </c>
      <c r="W90" s="130">
        <f t="shared" si="14"/>
        <v>100.10734598085655</v>
      </c>
    </row>
    <row r="91" spans="13:23">
      <c r="M91" s="62" t="s">
        <v>11</v>
      </c>
      <c r="N91" s="72">
        <f t="shared" si="6"/>
        <v>8.7599999999999997E-2</v>
      </c>
      <c r="O91" s="127">
        <f t="shared" si="11"/>
        <v>2.5742263470081756E-2</v>
      </c>
      <c r="P91" s="127">
        <f t="shared" si="12"/>
        <v>2.5931175337146575E-2</v>
      </c>
      <c r="Q91" s="127">
        <f t="shared" si="13"/>
        <v>5.4170315252761612E-4</v>
      </c>
      <c r="R91" s="127">
        <f>($B$3*$B$7)*(IF(ABS('Chemical Properties'!I48)&gt;0,'Chemical Properties'!I48,'Chemical Properties'!I11))*$B$8*M10/(IF(ABS('Chemical Properties'!J48)&gt;0,'Chemical Properties'!J48,'Chemical Properties'!J11)+M10)</f>
        <v>3.5879107996613591E-2</v>
      </c>
      <c r="S91" s="130">
        <f t="shared" si="7"/>
        <v>29.386145513791963</v>
      </c>
      <c r="T91" s="130">
        <f t="shared" si="8"/>
        <v>29.601798330076001</v>
      </c>
      <c r="U91" s="130">
        <f t="shared" si="9"/>
        <v>40.957885840883094</v>
      </c>
      <c r="V91" s="142">
        <f t="shared" si="10"/>
        <v>0.61838259420960739</v>
      </c>
      <c r="W91" s="130">
        <f t="shared" si="14"/>
        <v>100.56421227896064</v>
      </c>
    </row>
    <row r="92" spans="13:23">
      <c r="M92" s="63" t="s">
        <v>70</v>
      </c>
      <c r="N92" s="72">
        <f t="shared" si="6"/>
        <v>8.7599999999999997E-2</v>
      </c>
      <c r="O92" s="127">
        <f t="shared" si="11"/>
        <v>7.9592112037479464E-3</v>
      </c>
      <c r="P92" s="127">
        <f t="shared" si="12"/>
        <v>9.8643566375463745E-3</v>
      </c>
      <c r="Q92" s="127">
        <f t="shared" si="13"/>
        <v>1.8792504428697375E-5</v>
      </c>
      <c r="R92" s="127">
        <f>($B$3*$B$7)*(IF(ABS('Chemical Properties'!I49)&gt;0,'Chemical Properties'!I49,'Chemical Properties'!I12))*$B$8*M11/(IF(ABS('Chemical Properties'!J49)&gt;0,'Chemical Properties'!J49,'Chemical Properties'!J12)+M11)</f>
        <v>6.977478593531794E-2</v>
      </c>
      <c r="S92" s="130">
        <f t="shared" si="7"/>
        <v>9.0858575385250528</v>
      </c>
      <c r="T92" s="130">
        <f t="shared" si="8"/>
        <v>11.26068109308947</v>
      </c>
      <c r="U92" s="130">
        <f t="shared" si="9"/>
        <v>79.651582117942851</v>
      </c>
      <c r="V92" s="142">
        <f t="shared" si="10"/>
        <v>2.1452630626366868E-2</v>
      </c>
      <c r="W92" s="130">
        <f t="shared" si="14"/>
        <v>100.01957338018374</v>
      </c>
    </row>
    <row r="93" spans="13:23">
      <c r="M93" s="63" t="s">
        <v>16</v>
      </c>
      <c r="N93" s="72">
        <f t="shared" si="6"/>
        <v>8.7599999999999997E-2</v>
      </c>
      <c r="O93" s="127">
        <f t="shared" si="11"/>
        <v>4.9567207862320967E-2</v>
      </c>
      <c r="P93" s="127">
        <f t="shared" si="12"/>
        <v>7.4395700769322709E-6</v>
      </c>
      <c r="Q93" s="127">
        <f t="shared" si="13"/>
        <v>1.0922173918484788E-8</v>
      </c>
      <c r="R93" s="127">
        <f>($B$3*$B$7)*(IF(ABS('Chemical Properties'!I50)&gt;0,'Chemical Properties'!I50,'Chemical Properties'!I13))*$B$8*M12/(IF(ABS('Chemical Properties'!J50)&gt;0,'Chemical Properties'!J50,'Chemical Properties'!J13)+M12)</f>
        <v>3.8025351610820546E-2</v>
      </c>
      <c r="S93" s="130">
        <f t="shared" si="7"/>
        <v>56.583570619087865</v>
      </c>
      <c r="T93" s="130">
        <f t="shared" si="8"/>
        <v>8.4926599051738261E-3</v>
      </c>
      <c r="U93" s="130">
        <f t="shared" si="9"/>
        <v>43.407935628790575</v>
      </c>
      <c r="V93" s="142">
        <f t="shared" si="10"/>
        <v>1.2468235066763458E-5</v>
      </c>
      <c r="W93" s="130">
        <f t="shared" si="14"/>
        <v>100.00001137601868</v>
      </c>
    </row>
    <row r="94" spans="13:23">
      <c r="M94" s="60" t="s">
        <v>71</v>
      </c>
      <c r="N94" s="72">
        <f t="shared" si="6"/>
        <v>8.7599999999999997E-2</v>
      </c>
      <c r="O94" s="127">
        <f t="shared" si="11"/>
        <v>1.2246170194936448E-2</v>
      </c>
      <c r="P94" s="127">
        <f t="shared" si="12"/>
        <v>1.072301479850901E-2</v>
      </c>
      <c r="Q94" s="127">
        <f t="shared" si="13"/>
        <v>4.5826313621208682E-6</v>
      </c>
      <c r="R94" s="127">
        <f>($B$3*$B$7)*(IF(ABS('Chemical Properties'!I51)&gt;0,'Chemical Properties'!I51,'Chemical Properties'!I14))*$B$8*M13/(IF(ABS('Chemical Properties'!J51)&gt;0,'Chemical Properties'!J51,'Chemical Properties'!J14)+M13)</f>
        <v>6.4630413568047301E-2</v>
      </c>
      <c r="S94" s="130">
        <f t="shared" si="7"/>
        <v>13.979646341251653</v>
      </c>
      <c r="T94" s="130">
        <f t="shared" si="8"/>
        <v>12.240884473183803</v>
      </c>
      <c r="U94" s="130">
        <f t="shared" si="9"/>
        <v>73.779010922428427</v>
      </c>
      <c r="V94" s="142">
        <f t="shared" si="10"/>
        <v>5.2313143403206258E-3</v>
      </c>
      <c r="W94" s="130">
        <f t="shared" si="14"/>
        <v>100.00477305120418</v>
      </c>
    </row>
    <row r="95" spans="13:23">
      <c r="M95" s="62" t="s">
        <v>12</v>
      </c>
      <c r="N95" s="72">
        <f t="shared" si="6"/>
        <v>8.7599999999999997E-2</v>
      </c>
      <c r="O95" s="127">
        <f t="shared" si="11"/>
        <v>2.6975480891272313E-3</v>
      </c>
      <c r="P95" s="127">
        <f t="shared" si="12"/>
        <v>2.864609664019501E-3</v>
      </c>
      <c r="Q95" s="127">
        <f t="shared" si="13"/>
        <v>3.6650831136927324E-5</v>
      </c>
      <c r="R95" s="127">
        <f>($B$3*$B$7)*(IF(ABS('Chemical Properties'!I52)&gt;0,'Chemical Properties'!I52,'Chemical Properties'!I15))*$B$8*M14/(IF(ABS('Chemical Properties'!J52)&gt;0,'Chemical Properties'!J52,'Chemical Properties'!J15)+M14)</f>
        <v>8.2034631634051502E-2</v>
      </c>
      <c r="S95" s="130">
        <f t="shared" si="7"/>
        <v>3.0793927958073417</v>
      </c>
      <c r="T95" s="130">
        <f t="shared" si="8"/>
        <v>3.2701023561866451</v>
      </c>
      <c r="U95" s="130">
        <f t="shared" si="9"/>
        <v>93.646839764898985</v>
      </c>
      <c r="V95" s="142">
        <f t="shared" si="10"/>
        <v>4.1838848329825713E-2</v>
      </c>
      <c r="W95" s="130">
        <f t="shared" si="14"/>
        <v>100.03817376522279</v>
      </c>
    </row>
    <row r="96" spans="13:23">
      <c r="M96" s="62" t="s">
        <v>10</v>
      </c>
      <c r="N96" s="72">
        <f t="shared" si="6"/>
        <v>8.7599999999999997E-2</v>
      </c>
      <c r="O96" s="127">
        <f t="shared" si="11"/>
        <v>5.2841369924461743E-4</v>
      </c>
      <c r="P96" s="127">
        <f t="shared" si="12"/>
        <v>1.1314379030757337E-5</v>
      </c>
      <c r="Q96" s="127">
        <f t="shared" si="13"/>
        <v>3.855570958421395E-7</v>
      </c>
      <c r="R96" s="127">
        <f>($B$3*$B$7)*(IF(ABS('Chemical Properties'!I53)&gt;0,'Chemical Properties'!I53,'Chemical Properties'!I16))*$B$8*M15/(IF(ABS('Chemical Properties'!J53)&gt;0,'Chemical Properties'!J53,'Chemical Properties'!J16)+M15)</f>
        <v>8.7060238146978497E-2</v>
      </c>
      <c r="S96" s="130">
        <f t="shared" si="7"/>
        <v>0.60321198543906107</v>
      </c>
      <c r="T96" s="130">
        <f t="shared" si="8"/>
        <v>1.2915957797668192E-2</v>
      </c>
      <c r="U96" s="130">
        <f t="shared" si="9"/>
        <v>99.38383350111701</v>
      </c>
      <c r="V96" s="142">
        <f t="shared" si="10"/>
        <v>4.4013367105267062E-4</v>
      </c>
      <c r="W96" s="130">
        <f t="shared" si="14"/>
        <v>100.00040157802479</v>
      </c>
    </row>
    <row r="97" spans="13:23">
      <c r="M97" s="63" t="s">
        <v>72</v>
      </c>
      <c r="N97" s="72">
        <f t="shared" si="6"/>
        <v>8.7599999999999997E-2</v>
      </c>
      <c r="O97" s="127">
        <f t="shared" si="11"/>
        <v>4.2618357864282379E-3</v>
      </c>
      <c r="P97" s="127">
        <f t="shared" si="12"/>
        <v>4.2411929083613527E-3</v>
      </c>
      <c r="Q97" s="127">
        <f t="shared" si="13"/>
        <v>1.0297014964483337E-3</v>
      </c>
      <c r="R97" s="127">
        <f>($B$3*$B$7)*(IF(ABS('Chemical Properties'!I54)&gt;0,'Chemical Properties'!I54,'Chemical Properties'!I17))*$B$8*M16/(IF(ABS('Chemical Properties'!J54)&gt;0,'Chemical Properties'!J54,'Chemical Properties'!J17)+M16)</f>
        <v>7.9006769454118012E-2</v>
      </c>
      <c r="S97" s="130">
        <f t="shared" si="7"/>
        <v>4.8651093452377152</v>
      </c>
      <c r="T97" s="130">
        <f t="shared" si="8"/>
        <v>4.8415444159376175</v>
      </c>
      <c r="U97" s="130">
        <f t="shared" si="9"/>
        <v>90.190376089175814</v>
      </c>
      <c r="V97" s="142">
        <f t="shared" si="10"/>
        <v>1.1754583292789198</v>
      </c>
      <c r="W97" s="130">
        <f t="shared" si="14"/>
        <v>101.07248817963006</v>
      </c>
    </row>
    <row r="98" spans="13:23">
      <c r="M98" s="63" t="s">
        <v>73</v>
      </c>
      <c r="N98" s="72">
        <f t="shared" si="6"/>
        <v>8.7599999999999997E-2</v>
      </c>
      <c r="O98" s="127">
        <f t="shared" si="11"/>
        <v>4.0562029088639454E-4</v>
      </c>
      <c r="P98" s="127">
        <f t="shared" si="12"/>
        <v>3.0175333391274967E-5</v>
      </c>
      <c r="Q98" s="127">
        <f t="shared" si="13"/>
        <v>9.8001856816160429E-9</v>
      </c>
      <c r="R98" s="127">
        <f>($B$3*$B$7)*(IF(ABS('Chemical Properties'!I55)&gt;0,'Chemical Properties'!I55,'Chemical Properties'!I18))*$B$8*M17/(IF(ABS('Chemical Properties'!J55)&gt;0,'Chemical Properties'!J55,'Chemical Properties'!J18)+M17)</f>
        <v>8.7164203517261882E-2</v>
      </c>
      <c r="S98" s="130">
        <f t="shared" si="7"/>
        <v>0.4630368617424595</v>
      </c>
      <c r="T98" s="130">
        <f t="shared" si="8"/>
        <v>3.4446727615610691E-2</v>
      </c>
      <c r="U98" s="130">
        <f t="shared" si="9"/>
        <v>99.502515430664246</v>
      </c>
      <c r="V98" s="142">
        <f t="shared" si="10"/>
        <v>1.1187426577187265E-5</v>
      </c>
      <c r="W98" s="130">
        <f t="shared" si="14"/>
        <v>100.00001020744891</v>
      </c>
    </row>
    <row r="99" spans="13:23">
      <c r="M99" s="64" t="s">
        <v>74</v>
      </c>
      <c r="N99" s="72">
        <f t="shared" si="6"/>
        <v>8.7599999999999997E-2</v>
      </c>
      <c r="O99" s="127">
        <f t="shared" si="11"/>
        <v>3.5159810432114761E-3</v>
      </c>
      <c r="P99" s="127">
        <f t="shared" si="12"/>
        <v>3.94136455264372E-3</v>
      </c>
      <c r="Q99" s="127">
        <f t="shared" si="13"/>
        <v>1.2564961347187492E-4</v>
      </c>
      <c r="R99" s="127">
        <f>($B$3*$B$7)*(IF(ABS('Chemical Properties'!I56)&gt;0,'Chemical Properties'!I56,'Chemical Properties'!I19))*$B$8*M18/(IF(ABS('Chemical Properties'!J56)&gt;0,'Chemical Properties'!J56,'Chemical Properties'!J19)+M18)</f>
        <v>8.0131647497996908E-2</v>
      </c>
      <c r="S99" s="130">
        <f t="shared" si="7"/>
        <v>4.0136769899674389</v>
      </c>
      <c r="T99" s="130">
        <f t="shared" si="8"/>
        <v>4.4992746034745661</v>
      </c>
      <c r="U99" s="130">
        <f t="shared" si="9"/>
        <v>91.474483445201955</v>
      </c>
      <c r="V99" s="142">
        <f t="shared" si="10"/>
        <v>0.14343563181720881</v>
      </c>
      <c r="W99" s="130">
        <f t="shared" si="14"/>
        <v>100.13087067046116</v>
      </c>
    </row>
    <row r="100" spans="13:23">
      <c r="M100" s="63" t="s">
        <v>75</v>
      </c>
      <c r="N100" s="72">
        <f t="shared" si="6"/>
        <v>8.7599999999999997E-2</v>
      </c>
      <c r="O100" s="127">
        <f t="shared" si="11"/>
        <v>7.8331724636291917E-3</v>
      </c>
      <c r="P100" s="127">
        <f t="shared" si="12"/>
        <v>9.2126157130010596E-3</v>
      </c>
      <c r="Q100" s="127">
        <f t="shared" si="13"/>
        <v>1.5084201339969839E-5</v>
      </c>
      <c r="R100" s="127">
        <f>($B$3*$B$7)*(IF(ABS('Chemical Properties'!I57)&gt;0,'Chemical Properties'!I57,'Chemical Properties'!I20))*$B$8*M19/(IF(ABS('Chemical Properties'!J57)&gt;0,'Chemical Properties'!J57,'Chemical Properties'!J20)+M19)</f>
        <v>7.0552890447341379E-2</v>
      </c>
      <c r="S100" s="130">
        <f t="shared" si="7"/>
        <v>8.9419776982068413</v>
      </c>
      <c r="T100" s="130">
        <f t="shared" si="8"/>
        <v>10.516684603882489</v>
      </c>
      <c r="U100" s="130">
        <f t="shared" si="9"/>
        <v>80.539829277786964</v>
      </c>
      <c r="V100" s="142">
        <f t="shared" si="10"/>
        <v>1.7219407922339999E-2</v>
      </c>
      <c r="W100" s="130">
        <f t="shared" si="14"/>
        <v>100.01571098779864</v>
      </c>
    </row>
    <row r="101" spans="13:23">
      <c r="M101" s="64" t="s">
        <v>78</v>
      </c>
      <c r="N101" s="72">
        <f t="shared" si="6"/>
        <v>8.7599999999999997E-2</v>
      </c>
      <c r="O101" s="127">
        <f t="shared" si="11"/>
        <v>4.4615022630548496E-3</v>
      </c>
      <c r="P101" s="127">
        <f t="shared" si="12"/>
        <v>4.1553088247623989E-3</v>
      </c>
      <c r="Q101" s="127">
        <f t="shared" si="13"/>
        <v>6.2029138534092608E-4</v>
      </c>
      <c r="R101" s="127">
        <f>($B$3*$B$7)*(IF(ABS('Chemical Properties'!I58)&gt;0,'Chemical Properties'!I58,'Chemical Properties'!I21))*$B$8*M20/(IF(ABS('Chemical Properties'!J58)&gt;0,'Chemical Properties'!J58,'Chemical Properties'!J21)+M20)</f>
        <v>7.8928851386829313E-2</v>
      </c>
      <c r="S101" s="130">
        <f t="shared" si="7"/>
        <v>5.0930391130763129</v>
      </c>
      <c r="T101" s="130">
        <f t="shared" si="8"/>
        <v>4.7435032246146109</v>
      </c>
      <c r="U101" s="130">
        <f t="shared" si="9"/>
        <v>90.101428523777756</v>
      </c>
      <c r="V101" s="142">
        <f t="shared" si="10"/>
        <v>0.70809518874534949</v>
      </c>
      <c r="W101" s="130">
        <f t="shared" si="14"/>
        <v>100.64606605021402</v>
      </c>
    </row>
    <row r="102" spans="13:23">
      <c r="M102" s="65" t="s">
        <v>14</v>
      </c>
      <c r="N102" s="72">
        <f t="shared" si="6"/>
        <v>8.7599999999999997E-2</v>
      </c>
      <c r="O102" s="127">
        <f t="shared" si="11"/>
        <v>6.3954089915899985E-3</v>
      </c>
      <c r="P102" s="127">
        <f t="shared" si="12"/>
        <v>8.9674128213711492E-3</v>
      </c>
      <c r="Q102" s="127">
        <f t="shared" si="13"/>
        <v>9.7697388566618416E-7</v>
      </c>
      <c r="R102" s="127">
        <f>($B$3*$B$7)*(IF(ABS('Chemical Properties'!I59)&gt;0,'Chemical Properties'!I59,'Chemical Properties'!I22))*$B$8*M21/(IF(ABS('Chemical Properties'!J59)&gt;0,'Chemical Properties'!J59,'Chemical Properties'!J22)+M21)</f>
        <v>7.2237092604127195E-2</v>
      </c>
      <c r="S102" s="130">
        <f t="shared" si="7"/>
        <v>7.3006951958789941</v>
      </c>
      <c r="T102" s="130">
        <f t="shared" si="8"/>
        <v>10.236772627136014</v>
      </c>
      <c r="U102" s="130">
        <f t="shared" si="9"/>
        <v>82.462434479597263</v>
      </c>
      <c r="V102" s="142">
        <f t="shared" si="10"/>
        <v>1.1152669927696167E-3</v>
      </c>
      <c r="W102" s="130">
        <f t="shared" si="14"/>
        <v>100.00101756960504</v>
      </c>
    </row>
    <row r="103" spans="13:23">
      <c r="M103" s="65" t="s">
        <v>79</v>
      </c>
      <c r="N103" s="72">
        <f t="shared" si="6"/>
        <v>8.7599999999999997E-2</v>
      </c>
      <c r="O103" s="127">
        <f t="shared" si="11"/>
        <v>6.174107501420615E-3</v>
      </c>
      <c r="P103" s="127">
        <f t="shared" si="12"/>
        <v>7.1294120886884263E-3</v>
      </c>
      <c r="Q103" s="127">
        <f t="shared" si="13"/>
        <v>4.5049380079809668E-6</v>
      </c>
      <c r="R103" s="127">
        <f>($B$3*$B$7)*(IF(ABS('Chemical Properties'!I60)&gt;0,'Chemical Properties'!I60,'Chemical Properties'!I23))*$B$8*M22/(IF(ABS('Chemical Properties'!J60)&gt;0,'Chemical Properties'!J60,'Chemical Properties'!J23)+M22)</f>
        <v>7.4296085777321288E-2</v>
      </c>
      <c r="S103" s="130">
        <f t="shared" si="7"/>
        <v>7.0480679239961361</v>
      </c>
      <c r="T103" s="130">
        <f t="shared" si="8"/>
        <v>8.1385982747584773</v>
      </c>
      <c r="U103" s="130">
        <f t="shared" si="9"/>
        <v>84.812883307444395</v>
      </c>
      <c r="V103" s="142">
        <f t="shared" si="10"/>
        <v>5.1426232967819252E-3</v>
      </c>
      <c r="W103" s="130">
        <f t="shared" si="14"/>
        <v>100.00469212949579</v>
      </c>
    </row>
    <row r="104" spans="13:23">
      <c r="M104" s="65" t="s">
        <v>15</v>
      </c>
      <c r="N104" s="72">
        <f t="shared" si="6"/>
        <v>8.7599999999999997E-2</v>
      </c>
      <c r="O104" s="127">
        <f t="shared" si="11"/>
        <v>3.6697870241207173E-2</v>
      </c>
      <c r="P104" s="127">
        <f t="shared" si="12"/>
        <v>7.0522481413349973E-8</v>
      </c>
      <c r="Q104" s="127">
        <f t="shared" si="13"/>
        <v>3.2942419458983076E-8</v>
      </c>
      <c r="R104" s="127">
        <f>($B$3*$B$7)*(IF(ABS('Chemical Properties'!I61)&gt;0,'Chemical Properties'!I61,'Chemical Properties'!I24))*$B$8*M23/(IF(ABS('Chemical Properties'!J61)&gt;0,'Chemical Properties'!J61,'Chemical Properties'!J24)+M23)</f>
        <v>5.090205635055655E-2</v>
      </c>
      <c r="S104" s="130">
        <f t="shared" si="7"/>
        <v>41.892545937451118</v>
      </c>
      <c r="T104" s="130">
        <f t="shared" si="8"/>
        <v>8.0505115768664351E-5</v>
      </c>
      <c r="U104" s="130">
        <f t="shared" si="9"/>
        <v>58.107370263192415</v>
      </c>
      <c r="V104" s="142">
        <f t="shared" si="10"/>
        <v>3.7605501665505798E-5</v>
      </c>
      <c r="W104" s="130">
        <f t="shared" si="14"/>
        <v>100.00003431126095</v>
      </c>
    </row>
    <row r="105" spans="13:23">
      <c r="M105" s="65" t="s">
        <v>80</v>
      </c>
      <c r="N105" s="72">
        <f t="shared" si="6"/>
        <v>8.7599999999999997E-2</v>
      </c>
      <c r="O105" s="127">
        <f t="shared" si="11"/>
        <v>4.0062137749277233E-3</v>
      </c>
      <c r="P105" s="127">
        <f t="shared" si="12"/>
        <v>3.5724648992609444E-3</v>
      </c>
      <c r="Q105" s="127">
        <f t="shared" si="13"/>
        <v>6.5440822921007932E-2</v>
      </c>
      <c r="R105" s="127">
        <f>($B$3*$B$7)*(IF(ABS('Chemical Properties'!I62)&gt;0,'Chemical Properties'!I62,'Chemical Properties'!I25))*$B$8*M24/(IF(ABS('Chemical Properties'!J62)&gt;0,'Chemical Properties'!J62,'Chemical Properties'!J25)+M24)</f>
        <v>7.4288705237930547E-2</v>
      </c>
      <c r="S105" s="130">
        <f t="shared" si="7"/>
        <v>4.5733033960362146</v>
      </c>
      <c r="T105" s="130">
        <f t="shared" si="8"/>
        <v>4.0781562776951423</v>
      </c>
      <c r="U105" s="130">
        <f t="shared" si="9"/>
        <v>84.804458034167297</v>
      </c>
      <c r="V105" s="142">
        <f t="shared" si="10"/>
        <v>74.704135754575262</v>
      </c>
      <c r="W105" s="130">
        <f t="shared" si="14"/>
        <v>168.16005346247391</v>
      </c>
    </row>
    <row r="106" spans="13:23">
      <c r="M106" s="65" t="s">
        <v>59</v>
      </c>
      <c r="N106" s="72">
        <f>$B$6*B37</f>
        <v>8.7599999999999997E-2</v>
      </c>
      <c r="O106" s="127" t="e">
        <f t="shared" si="11"/>
        <v>#DIV/0!</v>
      </c>
      <c r="P106" s="127" t="e">
        <f>K25</f>
        <v>#DIV/0!</v>
      </c>
      <c r="Q106" s="127" t="e">
        <f t="shared" si="13"/>
        <v>#DIV/0!</v>
      </c>
      <c r="R106" s="127" t="e">
        <f>($B$3*$B$7)*(IF(ABS('Chemical Properties'!I63)&gt;0,'Chemical Properties'!I63,'Chemical Properties'!I26))*$B$8*M25/(IF(ABS('Chemical Properties'!J63)&gt;0,'Chemical Properties'!J63,'Chemical Properties'!J26)+M25)</f>
        <v>#DIV/0!</v>
      </c>
      <c r="S106" s="130" t="e">
        <f>O106/N106*100</f>
        <v>#DIV/0!</v>
      </c>
      <c r="T106" s="130" t="e">
        <f>P106/N106*100</f>
        <v>#DIV/0!</v>
      </c>
      <c r="U106" s="130" t="e">
        <f>R106/N106*100</f>
        <v>#DIV/0!</v>
      </c>
      <c r="V106" s="142" t="e">
        <f>Q106/N106*100</f>
        <v>#DIV/0!</v>
      </c>
      <c r="W106" s="130" t="e">
        <f>(O106+P106+Q106+R106)/N106*100</f>
        <v>#DIV/0!</v>
      </c>
    </row>
    <row r="107" spans="13:23">
      <c r="M107" s="81" t="s">
        <v>60</v>
      </c>
      <c r="N107" s="72">
        <f>$B$6*B38</f>
        <v>8.7599999999999997E-2</v>
      </c>
      <c r="O107" s="127" t="e">
        <f t="shared" si="11"/>
        <v>#DIV/0!</v>
      </c>
      <c r="P107" s="127" t="e">
        <f>K26</f>
        <v>#DIV/0!</v>
      </c>
      <c r="Q107" s="127" t="e">
        <f t="shared" si="13"/>
        <v>#DIV/0!</v>
      </c>
      <c r="R107" s="127" t="e">
        <f>($B$3*$B$7)*(IF(ABS('Chemical Properties'!I64)&gt;0,'Chemical Properties'!I64,'Chemical Properties'!I27))*$B$8*M26/(IF(ABS('Chemical Properties'!J64)&gt;0,'Chemical Properties'!J64,'Chemical Properties'!J27)+M26)</f>
        <v>#DIV/0!</v>
      </c>
      <c r="S107" s="130" t="e">
        <f>O107/N107*100</f>
        <v>#DIV/0!</v>
      </c>
      <c r="T107" s="130" t="e">
        <f>P107/N107*100</f>
        <v>#DIV/0!</v>
      </c>
      <c r="U107" s="130" t="e">
        <f>R107/N107*100</f>
        <v>#DIV/0!</v>
      </c>
      <c r="V107" s="142" t="e">
        <f>Q107/N107*100</f>
        <v>#DIV/0!</v>
      </c>
      <c r="W107" s="130" t="e">
        <f>(O107+P107+Q107+R107)/N107*100</f>
        <v>#DIV/0!</v>
      </c>
    </row>
    <row r="108" spans="13:23">
      <c r="M108" s="65" t="s">
        <v>61</v>
      </c>
      <c r="N108" s="72">
        <f>$B$6*B39</f>
        <v>8.7599999999999997E-2</v>
      </c>
      <c r="O108" s="127" t="e">
        <f t="shared" si="11"/>
        <v>#DIV/0!</v>
      </c>
      <c r="P108" s="127" t="e">
        <f>K27</f>
        <v>#DIV/0!</v>
      </c>
      <c r="Q108" s="127" t="e">
        <f t="shared" si="13"/>
        <v>#DIV/0!</v>
      </c>
      <c r="R108" s="127" t="e">
        <f>($B$3*$B$7)*(IF(ABS('Chemical Properties'!I65)&gt;0,'Chemical Properties'!I65,'Chemical Properties'!I28))*$B$8*M27/(IF(ABS('Chemical Properties'!J65)&gt;0,'Chemical Properties'!J65,'Chemical Properties'!J28)+M27)</f>
        <v>#DIV/0!</v>
      </c>
      <c r="S108" s="130" t="e">
        <f>O108/N108*100</f>
        <v>#DIV/0!</v>
      </c>
      <c r="T108" s="130" t="e">
        <f>P108/N108*100</f>
        <v>#DIV/0!</v>
      </c>
      <c r="U108" s="130" t="e">
        <f>R108/N108*100</f>
        <v>#DIV/0!</v>
      </c>
      <c r="V108" s="142" t="e">
        <f>Q108/N108*100</f>
        <v>#DIV/0!</v>
      </c>
      <c r="W108" s="130" t="e">
        <f>(O108+P108+Q108+R108)/N108*100</f>
        <v>#DIV/0!</v>
      </c>
    </row>
    <row r="109" spans="13:23">
      <c r="M109" s="65" t="s">
        <v>256</v>
      </c>
      <c r="N109" s="72">
        <f>$B$6*B40</f>
        <v>8.7599999999999997E-2</v>
      </c>
      <c r="O109" s="127">
        <f t="shared" si="11"/>
        <v>4.2234001564450639E-3</v>
      </c>
      <c r="P109" s="127">
        <f>K28</f>
        <v>5.0721373733209237E-3</v>
      </c>
      <c r="Q109" s="127">
        <f t="shared" si="13"/>
        <v>7.9209425564340393E-5</v>
      </c>
      <c r="R109" s="127">
        <f>($B$3*$B$7)*(IF(ABS('Chemical Properties'!I66)&gt;0,'Chemical Properties'!I66,'Chemical Properties'!I29))*$B$8*M28/(IF(ABS('Chemical Properties'!J66)&gt;0,'Chemical Properties'!J66,'Chemical Properties'!J29)+M28)</f>
        <v>7.8297523724550858E-2</v>
      </c>
      <c r="S109" s="130">
        <f>O109/N109*100</f>
        <v>4.8212330553025842</v>
      </c>
      <c r="T109" s="130">
        <f>P109/N109*100</f>
        <v>5.7901111567590453</v>
      </c>
      <c r="U109" s="130">
        <f>R109/N109*100</f>
        <v>89.380734845377702</v>
      </c>
      <c r="V109" s="142">
        <f>Q109/N109*100</f>
        <v>9.0421718680753882E-2</v>
      </c>
      <c r="W109" s="130">
        <f>(O109+P109+Q109+R109)/N109*100</f>
        <v>100.08250077612009</v>
      </c>
    </row>
    <row r="111" spans="13:23">
      <c r="M111" s="91"/>
      <c r="N111" s="276"/>
      <c r="O111" s="254"/>
      <c r="P111" s="254"/>
      <c r="Q111" s="254"/>
      <c r="R111" s="254"/>
      <c r="S111" s="255"/>
      <c r="T111" s="255"/>
      <c r="U111" s="255"/>
      <c r="V111" s="259"/>
      <c r="W111" s="255"/>
    </row>
  </sheetData>
  <mergeCells count="5">
    <mergeCell ref="A1:E1"/>
    <mergeCell ref="A14:C14"/>
    <mergeCell ref="I46:K46"/>
    <mergeCell ref="E43:G43"/>
    <mergeCell ref="M82:T82"/>
  </mergeCells>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sheetPr>
    <tabColor theme="9"/>
    <pageSetUpPr fitToPage="1"/>
  </sheetPr>
  <dimension ref="A2:Q138"/>
  <sheetViews>
    <sheetView workbookViewId="0">
      <selection activeCell="E5" sqref="E5"/>
    </sheetView>
  </sheetViews>
  <sheetFormatPr defaultRowHeight="11.25"/>
  <cols>
    <col min="1" max="1" width="9.140625" style="1"/>
    <col min="2" max="2" width="29.28515625" style="1" customWidth="1"/>
    <col min="3" max="4" width="9.140625" style="1"/>
    <col min="5" max="5" width="10.28515625" style="1" customWidth="1"/>
    <col min="6" max="6" width="9.5703125" style="1" bestFit="1" customWidth="1"/>
    <col min="7" max="8" width="9.140625" style="1"/>
    <col min="9" max="9" width="9.5703125" style="1" customWidth="1"/>
    <col min="10" max="10" width="9.140625" style="1"/>
    <col min="11" max="11" width="10.85546875" style="1" bestFit="1" customWidth="1"/>
    <col min="12" max="12" width="10.42578125" style="1" bestFit="1" customWidth="1"/>
    <col min="13" max="14" width="9.140625" style="1"/>
    <col min="15" max="15" width="10.42578125" style="1" bestFit="1" customWidth="1"/>
    <col min="16" max="16" width="9.140625" style="1"/>
    <col min="17" max="17" width="10.85546875" style="1" bestFit="1" customWidth="1"/>
    <col min="18" max="18" width="10.42578125" style="1" bestFit="1" customWidth="1"/>
    <col min="19" max="16384" width="9.140625" style="1"/>
  </cols>
  <sheetData>
    <row r="2" spans="1:17" ht="18">
      <c r="A2" s="318" t="s">
        <v>119</v>
      </c>
      <c r="B2" s="319"/>
      <c r="C2" s="319"/>
      <c r="D2" s="319"/>
      <c r="E2" s="319"/>
      <c r="F2" s="319"/>
      <c r="G2" s="319"/>
      <c r="H2" s="319"/>
      <c r="I2" s="319"/>
      <c r="J2" s="320"/>
      <c r="N2" s="141" t="s">
        <v>174</v>
      </c>
    </row>
    <row r="3" spans="1:17" ht="34.5" customHeight="1">
      <c r="A3" s="31" t="s">
        <v>20</v>
      </c>
      <c r="B3" s="31" t="s">
        <v>62</v>
      </c>
      <c r="C3" s="31" t="s">
        <v>63</v>
      </c>
      <c r="D3" s="31" t="s">
        <v>64</v>
      </c>
      <c r="E3" s="31" t="s">
        <v>65</v>
      </c>
      <c r="F3" s="31" t="s">
        <v>66</v>
      </c>
      <c r="G3" s="31" t="s">
        <v>67</v>
      </c>
      <c r="H3" s="31" t="s">
        <v>68</v>
      </c>
      <c r="I3" s="31" t="s">
        <v>99</v>
      </c>
      <c r="J3" s="31" t="s">
        <v>81</v>
      </c>
      <c r="L3" s="164"/>
      <c r="N3" s="41" t="s">
        <v>86</v>
      </c>
    </row>
    <row r="4" spans="1:17">
      <c r="A4" s="9">
        <v>67561</v>
      </c>
      <c r="B4" s="10" t="s">
        <v>17</v>
      </c>
      <c r="C4" s="11">
        <v>32.04</v>
      </c>
      <c r="D4" s="12">
        <v>126</v>
      </c>
      <c r="E4" s="165">
        <v>4.5499999999999996E-6</v>
      </c>
      <c r="F4" s="13">
        <v>1.6399999999999999E-5</v>
      </c>
      <c r="G4" s="13">
        <v>0.15</v>
      </c>
      <c r="H4" s="14">
        <v>-0.71</v>
      </c>
      <c r="I4" s="15">
        <v>5.0000000000000004E-6</v>
      </c>
      <c r="J4" s="9">
        <v>90</v>
      </c>
      <c r="K4" s="167"/>
      <c r="N4" s="16">
        <f>10^(-0.32+IF(H41="",H4,H41))</f>
        <v>9.3325430079699068E-2</v>
      </c>
      <c r="O4" s="151"/>
      <c r="P4" s="171"/>
      <c r="Q4" s="171"/>
    </row>
    <row r="5" spans="1:17">
      <c r="A5" s="9">
        <v>71432</v>
      </c>
      <c r="B5" s="17" t="s">
        <v>6</v>
      </c>
      <c r="C5" s="11">
        <v>78.11</v>
      </c>
      <c r="D5" s="12">
        <v>95</v>
      </c>
      <c r="E5" s="165">
        <v>5.5792857142857146E-3</v>
      </c>
      <c r="F5" s="13">
        <v>9.7999999999999993E-6</v>
      </c>
      <c r="G5" s="13">
        <v>8.7999999999999995E-2</v>
      </c>
      <c r="H5" s="14">
        <v>2.13</v>
      </c>
      <c r="I5" s="18">
        <v>5.2777777777777777E-6</v>
      </c>
      <c r="J5" s="9">
        <v>13.571428571428573</v>
      </c>
      <c r="K5" s="167"/>
      <c r="N5" s="16">
        <f t="shared" ref="N5:N25" si="0">10^(-0.32+H5)</f>
        <v>64.565422903465532</v>
      </c>
      <c r="O5" s="151"/>
      <c r="P5" s="171"/>
      <c r="Q5" s="171"/>
    </row>
    <row r="6" spans="1:17">
      <c r="A6" s="9">
        <v>75150</v>
      </c>
      <c r="B6" s="17" t="s">
        <v>13</v>
      </c>
      <c r="C6" s="11">
        <v>76.14</v>
      </c>
      <c r="D6" s="12">
        <v>359</v>
      </c>
      <c r="E6" s="165">
        <v>3.0223639982308714E-2</v>
      </c>
      <c r="F6" s="13">
        <v>1.0000000000000001E-5</v>
      </c>
      <c r="G6" s="13">
        <v>0.104</v>
      </c>
      <c r="H6" s="14">
        <v>2</v>
      </c>
      <c r="I6" s="18">
        <v>4.25E-6</v>
      </c>
      <c r="J6" s="9">
        <v>17.121913733084138</v>
      </c>
      <c r="K6" s="167"/>
      <c r="N6" s="16">
        <f t="shared" si="0"/>
        <v>47.863009232263856</v>
      </c>
      <c r="O6" s="151"/>
      <c r="P6" s="171"/>
      <c r="Q6" s="171"/>
    </row>
    <row r="7" spans="1:17">
      <c r="A7" s="9">
        <v>78933</v>
      </c>
      <c r="B7" s="10" t="s">
        <v>69</v>
      </c>
      <c r="C7" s="11">
        <v>72.11</v>
      </c>
      <c r="D7" s="12">
        <v>95.3</v>
      </c>
      <c r="E7" s="165">
        <v>5.5899999999999997E-5</v>
      </c>
      <c r="F7" s="13">
        <v>9.7999999999999993E-6</v>
      </c>
      <c r="G7" s="13">
        <v>8.0799999999999997E-2</v>
      </c>
      <c r="H7" s="14">
        <v>0.28000000000000003</v>
      </c>
      <c r="I7" s="15">
        <v>5.5555555555555552E-7</v>
      </c>
      <c r="J7" s="9">
        <v>10</v>
      </c>
      <c r="K7" s="167"/>
      <c r="N7" s="16">
        <f t="shared" si="0"/>
        <v>0.91201083935590987</v>
      </c>
      <c r="O7" s="151"/>
      <c r="P7" s="171"/>
      <c r="Q7" s="171"/>
    </row>
    <row r="8" spans="1:17">
      <c r="A8" s="9">
        <v>91203</v>
      </c>
      <c r="B8" s="17" t="s">
        <v>9</v>
      </c>
      <c r="C8" s="11">
        <v>128.16999999999999</v>
      </c>
      <c r="D8" s="12">
        <v>8.5000000000000006E-2</v>
      </c>
      <c r="E8" s="165">
        <v>4.8299999999999998E-4</v>
      </c>
      <c r="F8" s="13">
        <v>7.5000000000000002E-6</v>
      </c>
      <c r="G8" s="13">
        <v>5.8999999999999997E-2</v>
      </c>
      <c r="H8" s="14">
        <v>3.36</v>
      </c>
      <c r="I8" s="15">
        <v>1.1797222222222222E-5</v>
      </c>
      <c r="J8" s="9">
        <v>42.47</v>
      </c>
      <c r="K8" s="167"/>
      <c r="N8" s="16">
        <f t="shared" si="0"/>
        <v>1096.4781961431863</v>
      </c>
      <c r="O8" s="151"/>
      <c r="P8" s="171"/>
      <c r="Q8" s="171"/>
    </row>
    <row r="9" spans="1:17">
      <c r="A9" s="9">
        <v>98828</v>
      </c>
      <c r="B9" s="19" t="s">
        <v>7</v>
      </c>
      <c r="C9" s="20">
        <v>120.19</v>
      </c>
      <c r="D9" s="21">
        <v>4.5</v>
      </c>
      <c r="E9" s="165">
        <v>1.46E-2</v>
      </c>
      <c r="F9" s="13">
        <v>7.0999999999999998E-6</v>
      </c>
      <c r="G9" s="13">
        <v>8.5999999999999993E-2</v>
      </c>
      <c r="H9" s="14">
        <v>3.58</v>
      </c>
      <c r="I9" s="18">
        <v>8.638888888888889E-6</v>
      </c>
      <c r="J9" s="9">
        <v>10.796639224919337</v>
      </c>
      <c r="K9" s="167"/>
      <c r="N9" s="16">
        <f t="shared" si="0"/>
        <v>1819.7008586099851</v>
      </c>
      <c r="O9" s="151"/>
      <c r="P9" s="171"/>
      <c r="Q9" s="171"/>
    </row>
    <row r="10" spans="1:17">
      <c r="A10" s="9">
        <v>100414</v>
      </c>
      <c r="B10" s="17" t="s">
        <v>8</v>
      </c>
      <c r="C10" s="11">
        <v>106.17</v>
      </c>
      <c r="D10" s="12">
        <v>9.6</v>
      </c>
      <c r="E10" s="165">
        <v>7.8799999999999999E-3</v>
      </c>
      <c r="F10" s="13">
        <v>7.7999999999999999E-6</v>
      </c>
      <c r="G10" s="13">
        <v>7.4999999999999997E-2</v>
      </c>
      <c r="H10" s="14">
        <v>3.14</v>
      </c>
      <c r="I10" s="18">
        <v>1.8888888888888888E-6</v>
      </c>
      <c r="J10" s="9">
        <v>3.2380952380952377</v>
      </c>
      <c r="K10" s="167"/>
      <c r="N10" s="16">
        <f t="shared" si="0"/>
        <v>660.693448007597</v>
      </c>
      <c r="O10" s="151"/>
      <c r="P10" s="171"/>
      <c r="Q10" s="171"/>
    </row>
    <row r="11" spans="1:17">
      <c r="A11" s="9">
        <v>100425</v>
      </c>
      <c r="B11" s="17" t="s">
        <v>11</v>
      </c>
      <c r="C11" s="11">
        <v>104.15</v>
      </c>
      <c r="D11" s="12">
        <v>6.12</v>
      </c>
      <c r="E11" s="165">
        <v>2.7499999999999998E-3</v>
      </c>
      <c r="F11" s="13">
        <v>7.9999999999999996E-6</v>
      </c>
      <c r="G11" s="13">
        <v>7.0999999999999994E-2</v>
      </c>
      <c r="H11" s="14">
        <v>2.94</v>
      </c>
      <c r="I11" s="15">
        <v>8.638888888888889E-6</v>
      </c>
      <c r="J11" s="9">
        <v>282.72727272727275</v>
      </c>
      <c r="K11" s="167"/>
      <c r="N11" s="16">
        <f t="shared" si="0"/>
        <v>416.86938347033572</v>
      </c>
      <c r="O11" s="151"/>
      <c r="P11" s="171"/>
      <c r="Q11" s="171"/>
    </row>
    <row r="12" spans="1:17">
      <c r="A12" s="9">
        <v>106990</v>
      </c>
      <c r="B12" s="19" t="s">
        <v>70</v>
      </c>
      <c r="C12" s="11">
        <v>54.09</v>
      </c>
      <c r="D12" s="12">
        <v>2110</v>
      </c>
      <c r="E12" s="165">
        <v>7.3599999999999999E-2</v>
      </c>
      <c r="F12" s="13">
        <v>1.08E-5</v>
      </c>
      <c r="G12" s="13">
        <v>0.249</v>
      </c>
      <c r="H12" s="14">
        <v>1.99</v>
      </c>
      <c r="I12" s="18">
        <v>4.25E-6</v>
      </c>
      <c r="J12" s="9">
        <v>22.046017386959047</v>
      </c>
      <c r="K12" s="167"/>
      <c r="N12" s="16">
        <f t="shared" si="0"/>
        <v>46.773514128719818</v>
      </c>
      <c r="O12" s="151"/>
      <c r="P12" s="171"/>
      <c r="Q12" s="171"/>
    </row>
    <row r="13" spans="1:17">
      <c r="A13" s="9">
        <v>107211</v>
      </c>
      <c r="B13" s="19" t="s">
        <v>16</v>
      </c>
      <c r="C13" s="11">
        <f>2*12.011+8*1.0079+2*14.0067</f>
        <v>60.098600000000005</v>
      </c>
      <c r="D13" s="22">
        <v>0.126</v>
      </c>
      <c r="E13" s="166">
        <v>1.8000179999999999E-9</v>
      </c>
      <c r="F13" s="13">
        <v>1.4100000000000001E-5</v>
      </c>
      <c r="G13" s="13">
        <v>0.152619</v>
      </c>
      <c r="H13" s="14">
        <v>-2.04</v>
      </c>
      <c r="I13" s="18">
        <v>4.8777777777777773E-6</v>
      </c>
      <c r="J13" s="9">
        <v>289.76897689768975</v>
      </c>
      <c r="K13" s="167"/>
      <c r="N13" s="16">
        <f t="shared" si="0"/>
        <v>4.3651583224016566E-3</v>
      </c>
      <c r="O13" s="151"/>
      <c r="P13" s="171"/>
      <c r="Q13" s="171"/>
    </row>
    <row r="14" spans="1:17">
      <c r="A14" s="9">
        <v>108101</v>
      </c>
      <c r="B14" s="10" t="s">
        <v>71</v>
      </c>
      <c r="C14" s="11">
        <v>100.16</v>
      </c>
      <c r="D14" s="12">
        <v>19.899999999999999</v>
      </c>
      <c r="E14" s="165">
        <v>1.3803213296398892E-4</v>
      </c>
      <c r="F14" s="13">
        <v>7.7999999999999999E-6</v>
      </c>
      <c r="G14" s="13">
        <v>7.4999999999999997E-2</v>
      </c>
      <c r="H14" s="14">
        <v>1.19</v>
      </c>
      <c r="I14" s="15">
        <v>2.0555555555555556E-7</v>
      </c>
      <c r="J14" s="9">
        <v>1.6386813840923011</v>
      </c>
      <c r="K14" s="167"/>
      <c r="N14" s="16">
        <f t="shared" si="0"/>
        <v>7.4131024130091765</v>
      </c>
      <c r="O14" s="151"/>
      <c r="P14" s="171"/>
      <c r="Q14" s="171"/>
    </row>
    <row r="15" spans="1:17">
      <c r="A15" s="9">
        <v>108883</v>
      </c>
      <c r="B15" s="17" t="s">
        <v>12</v>
      </c>
      <c r="C15" s="11">
        <v>92.14</v>
      </c>
      <c r="D15" s="12">
        <v>28.4</v>
      </c>
      <c r="E15" s="165">
        <v>6.6400000000000001E-3</v>
      </c>
      <c r="F15" s="13">
        <v>8.6000000000000007E-6</v>
      </c>
      <c r="G15" s="13">
        <v>8.6999999999999994E-2</v>
      </c>
      <c r="H15" s="14">
        <v>2.75</v>
      </c>
      <c r="I15" s="15">
        <v>2.0411111111111111E-5</v>
      </c>
      <c r="J15" s="9">
        <v>30.616666666666671</v>
      </c>
      <c r="K15" s="167"/>
      <c r="N15" s="16">
        <f t="shared" si="0"/>
        <v>269.15348039269179</v>
      </c>
      <c r="O15" s="151"/>
      <c r="P15" s="171"/>
      <c r="Q15" s="171"/>
    </row>
    <row r="16" spans="1:17">
      <c r="A16" s="9">
        <v>108952</v>
      </c>
      <c r="B16" s="17" t="s">
        <v>10</v>
      </c>
      <c r="C16" s="11">
        <v>94.11</v>
      </c>
      <c r="D16" s="12">
        <v>0.27600000000000002</v>
      </c>
      <c r="E16" s="165">
        <v>3.9700000000000002E-7</v>
      </c>
      <c r="F16" s="13">
        <v>9.0999999999999993E-6</v>
      </c>
      <c r="G16" s="13">
        <v>8.2000000000000003E-2</v>
      </c>
      <c r="H16" s="14">
        <v>1.48</v>
      </c>
      <c r="I16" s="15">
        <v>2.6944444444444445E-5</v>
      </c>
      <c r="J16" s="9">
        <v>7.4615384615384617</v>
      </c>
      <c r="K16" s="167"/>
      <c r="N16" s="16">
        <f t="shared" si="0"/>
        <v>14.454397707459275</v>
      </c>
      <c r="O16" s="151"/>
      <c r="P16" s="171"/>
      <c r="Q16" s="171"/>
    </row>
    <row r="17" spans="1:17">
      <c r="A17" s="9">
        <v>110543</v>
      </c>
      <c r="B17" s="19" t="s">
        <v>72</v>
      </c>
      <c r="C17" s="11">
        <v>86.18</v>
      </c>
      <c r="D17" s="12">
        <v>151</v>
      </c>
      <c r="E17" s="165">
        <v>0.122</v>
      </c>
      <c r="F17" s="13">
        <v>7.7700000000000001E-6</v>
      </c>
      <c r="G17" s="13">
        <v>0.2</v>
      </c>
      <c r="H17" s="14">
        <v>4</v>
      </c>
      <c r="I17" s="15">
        <v>4.25E-6</v>
      </c>
      <c r="J17" s="9">
        <v>10.41967452478112</v>
      </c>
      <c r="K17" s="167"/>
      <c r="N17" s="16">
        <f t="shared" si="0"/>
        <v>4786.3009232263848</v>
      </c>
      <c r="O17" s="151"/>
      <c r="P17" s="171"/>
      <c r="Q17" s="171"/>
    </row>
    <row r="18" spans="1:17">
      <c r="A18" s="9">
        <v>1319773</v>
      </c>
      <c r="B18" s="19" t="s">
        <v>73</v>
      </c>
      <c r="C18" s="23">
        <v>108.1</v>
      </c>
      <c r="D18" s="22">
        <v>0.3</v>
      </c>
      <c r="E18" s="166">
        <v>1.6199999999999999E-6</v>
      </c>
      <c r="F18" s="24">
        <v>9.3000000000000007E-6</v>
      </c>
      <c r="G18" s="24">
        <v>6.9400000000000003E-2</v>
      </c>
      <c r="H18" s="25">
        <v>0</v>
      </c>
      <c r="I18" s="18">
        <v>6.3888888888888885E-6</v>
      </c>
      <c r="J18" s="9">
        <v>1.3529411764705883</v>
      </c>
      <c r="K18" s="167"/>
      <c r="N18" s="16">
        <f t="shared" si="0"/>
        <v>0.47863009232263831</v>
      </c>
      <c r="O18" s="151"/>
      <c r="P18" s="171"/>
      <c r="Q18" s="171"/>
    </row>
    <row r="19" spans="1:17">
      <c r="A19" s="9">
        <v>1330207</v>
      </c>
      <c r="B19" s="26" t="s">
        <v>74</v>
      </c>
      <c r="C19" s="11">
        <v>106.17</v>
      </c>
      <c r="D19" s="12">
        <v>8.0417802622746155</v>
      </c>
      <c r="E19" s="165">
        <v>6.0412386408599814E-3</v>
      </c>
      <c r="F19" s="13">
        <v>9.3400000000000004E-6</v>
      </c>
      <c r="G19" s="13">
        <v>7.1400000000000005E-2</v>
      </c>
      <c r="H19" s="14">
        <v>3.17</v>
      </c>
      <c r="I19" s="15">
        <v>1.1333333333333332E-5</v>
      </c>
      <c r="J19" s="9">
        <v>22.666666666666664</v>
      </c>
      <c r="K19" s="167"/>
      <c r="N19" s="16">
        <f t="shared" si="0"/>
        <v>707.94578438413873</v>
      </c>
      <c r="O19" s="151"/>
      <c r="P19" s="171"/>
      <c r="Q19" s="171"/>
    </row>
    <row r="20" spans="1:17">
      <c r="A20" s="9">
        <v>1634044</v>
      </c>
      <c r="B20" s="19" t="s">
        <v>75</v>
      </c>
      <c r="C20" s="32">
        <v>88</v>
      </c>
      <c r="D20" s="22">
        <v>185.94900000000001</v>
      </c>
      <c r="E20" s="166">
        <v>5.5512550000000002E-4</v>
      </c>
      <c r="F20" s="13">
        <v>1.0499999999999999E-5</v>
      </c>
      <c r="G20" s="13">
        <v>0.1024</v>
      </c>
      <c r="H20" s="27">
        <v>1.90147</v>
      </c>
      <c r="I20" s="15">
        <v>4.8777777777777773E-6</v>
      </c>
      <c r="J20" s="9">
        <v>24.63925105656925</v>
      </c>
      <c r="K20" s="167"/>
      <c r="N20" s="16">
        <f t="shared" si="0"/>
        <v>38.147844177206586</v>
      </c>
      <c r="O20" s="151"/>
      <c r="P20" s="171"/>
      <c r="Q20" s="171"/>
    </row>
    <row r="21" spans="1:17">
      <c r="A21" s="9">
        <v>92524</v>
      </c>
      <c r="B21" s="26" t="s">
        <v>78</v>
      </c>
      <c r="C21" s="28">
        <v>154.21</v>
      </c>
      <c r="D21" s="12">
        <v>9.6399999999999993E-3</v>
      </c>
      <c r="E21" s="165">
        <v>2.7999999999999998E-4</v>
      </c>
      <c r="F21" s="13">
        <v>8.1999999999999994E-6</v>
      </c>
      <c r="G21" s="13">
        <v>4.0399999999999998E-2</v>
      </c>
      <c r="H21" s="29">
        <v>3.76</v>
      </c>
      <c r="I21" s="42">
        <v>5.2777777777777777E-6</v>
      </c>
      <c r="J21" s="44">
        <v>13.571428571428573</v>
      </c>
      <c r="K21" s="167"/>
      <c r="N21" s="16">
        <f t="shared" si="0"/>
        <v>2754.228703338169</v>
      </c>
      <c r="O21" s="151"/>
      <c r="P21" s="171"/>
      <c r="Q21" s="171"/>
    </row>
    <row r="22" spans="1:17">
      <c r="A22" s="9">
        <v>463581</v>
      </c>
      <c r="B22" s="9" t="s">
        <v>14</v>
      </c>
      <c r="C22" s="14">
        <v>60.07</v>
      </c>
      <c r="D22" s="14">
        <v>9412</v>
      </c>
      <c r="E22" s="165">
        <v>4.9200000000000001E-2</v>
      </c>
      <c r="F22" s="12">
        <v>1.2999999999999999E-5</v>
      </c>
      <c r="G22" s="13">
        <v>0.16170000000000001</v>
      </c>
      <c r="H22" s="29">
        <v>0.80089999999999995</v>
      </c>
      <c r="I22" s="50">
        <v>4.2533999999999998E-6</v>
      </c>
      <c r="J22" s="52">
        <v>17.121913733084138</v>
      </c>
      <c r="K22" s="167"/>
      <c r="N22" s="16">
        <f t="shared" si="0"/>
        <v>3.0262165357633473</v>
      </c>
      <c r="O22" s="151"/>
      <c r="P22" s="171"/>
      <c r="Q22" s="171"/>
    </row>
    <row r="23" spans="1:17">
      <c r="A23" s="9">
        <v>107062</v>
      </c>
      <c r="B23" s="9" t="s">
        <v>79</v>
      </c>
      <c r="C23" s="14">
        <v>98.96</v>
      </c>
      <c r="D23" s="14">
        <v>79.5</v>
      </c>
      <c r="E23" s="165">
        <v>1.4E-3</v>
      </c>
      <c r="F23" s="12">
        <v>9.9000000000000001E-6</v>
      </c>
      <c r="G23" s="13">
        <v>0.104</v>
      </c>
      <c r="H23" s="29">
        <v>1.48</v>
      </c>
      <c r="I23" s="36">
        <v>5.8329999999999999E-7</v>
      </c>
      <c r="J23" s="30">
        <v>2.1429</v>
      </c>
      <c r="K23" s="167"/>
      <c r="N23" s="16">
        <f t="shared" si="0"/>
        <v>14.454397707459275</v>
      </c>
      <c r="O23" s="151"/>
      <c r="P23" s="171"/>
      <c r="Q23" s="171"/>
    </row>
    <row r="24" spans="1:17">
      <c r="A24" s="30">
        <v>111422</v>
      </c>
      <c r="B24" s="9" t="s">
        <v>15</v>
      </c>
      <c r="C24" s="14">
        <v>105.14</v>
      </c>
      <c r="D24" s="14">
        <v>2.7799999999999998E-4</v>
      </c>
      <c r="E24" s="165">
        <v>3.8699999999999999E-11</v>
      </c>
      <c r="F24" s="12">
        <v>9.7999999999999993E-6</v>
      </c>
      <c r="G24" s="13">
        <v>7.0400000000000004E-2</v>
      </c>
      <c r="H24" s="29">
        <v>-1.43</v>
      </c>
      <c r="I24" s="48">
        <v>2.1666999999999999E-6</v>
      </c>
      <c r="J24" s="49">
        <v>70.909099999999995</v>
      </c>
      <c r="K24" s="167"/>
      <c r="N24" s="16">
        <f t="shared" si="0"/>
        <v>1.7782794100389226E-2</v>
      </c>
      <c r="O24" s="151"/>
      <c r="P24" s="171"/>
      <c r="Q24" s="171"/>
    </row>
    <row r="25" spans="1:17">
      <c r="A25" s="30">
        <v>540841</v>
      </c>
      <c r="B25" s="9" t="s">
        <v>80</v>
      </c>
      <c r="C25" s="14">
        <v>114.23</v>
      </c>
      <c r="D25" s="14">
        <v>49.171999999999997</v>
      </c>
      <c r="E25" s="165">
        <v>3.03</v>
      </c>
      <c r="F25" s="12">
        <v>6.5899999999999996E-6</v>
      </c>
      <c r="G25" s="13">
        <v>7.3300000000000004E-2</v>
      </c>
      <c r="H25" s="29">
        <v>5.83</v>
      </c>
      <c r="I25" s="45">
        <v>4.25E-6</v>
      </c>
      <c r="J25" s="46">
        <v>10.41967452478112</v>
      </c>
      <c r="K25" s="167"/>
      <c r="N25" s="16">
        <f t="shared" si="0"/>
        <v>323593.65692962846</v>
      </c>
      <c r="O25" s="151"/>
      <c r="P25" s="171"/>
      <c r="Q25" s="171"/>
    </row>
    <row r="26" spans="1:17">
      <c r="A26" s="9"/>
      <c r="B26" s="9" t="s">
        <v>59</v>
      </c>
      <c r="C26" s="14"/>
      <c r="D26" s="14"/>
      <c r="E26" s="165"/>
      <c r="F26" s="12"/>
      <c r="G26" s="13"/>
      <c r="H26" s="29"/>
      <c r="I26" s="14"/>
      <c r="J26" s="9"/>
      <c r="K26" s="167"/>
      <c r="N26" s="16">
        <f>10^(-0.32+H26)</f>
        <v>0.47863009232263831</v>
      </c>
      <c r="O26" s="151"/>
      <c r="P26" s="171"/>
      <c r="Q26" s="171"/>
    </row>
    <row r="27" spans="1:17">
      <c r="A27" s="9"/>
      <c r="B27" s="9" t="s">
        <v>60</v>
      </c>
      <c r="C27" s="14"/>
      <c r="D27" s="14"/>
      <c r="E27" s="165"/>
      <c r="F27" s="14"/>
      <c r="G27" s="13"/>
      <c r="H27" s="29"/>
      <c r="I27" s="14"/>
      <c r="J27" s="9"/>
      <c r="K27" s="167"/>
      <c r="N27" s="16">
        <f>10^(-0.32+H27)</f>
        <v>0.47863009232263831</v>
      </c>
      <c r="O27" s="151"/>
      <c r="P27" s="171"/>
      <c r="Q27" s="171"/>
    </row>
    <row r="28" spans="1:17">
      <c r="A28" s="9"/>
      <c r="B28" s="9" t="s">
        <v>61</v>
      </c>
      <c r="C28" s="14"/>
      <c r="D28" s="14"/>
      <c r="E28" s="165"/>
      <c r="F28" s="14"/>
      <c r="G28" s="13"/>
      <c r="H28" s="29"/>
      <c r="I28" s="14"/>
      <c r="J28" s="9"/>
      <c r="K28" s="167"/>
      <c r="N28" s="16">
        <f>10^(-0.32+H28)</f>
        <v>0.47863009232263831</v>
      </c>
      <c r="O28" s="151"/>
      <c r="P28" s="171"/>
      <c r="Q28" s="171"/>
    </row>
    <row r="29" spans="1:17">
      <c r="A29" s="9">
        <v>106978</v>
      </c>
      <c r="B29" s="9" t="s">
        <v>256</v>
      </c>
      <c r="C29" s="14">
        <v>58.12</v>
      </c>
      <c r="D29" s="12">
        <v>1820</v>
      </c>
      <c r="E29" s="165">
        <v>0.95</v>
      </c>
      <c r="F29" s="12">
        <v>1.03E-5</v>
      </c>
      <c r="G29" s="13">
        <v>9.9199999999999997E-2</v>
      </c>
      <c r="H29" s="29">
        <v>2.89</v>
      </c>
      <c r="I29" s="45">
        <v>4.25E-6</v>
      </c>
      <c r="J29" s="46">
        <v>10.41967452478112</v>
      </c>
      <c r="K29" s="167"/>
      <c r="N29" s="16">
        <f>10^(-0.32+H29)</f>
        <v>371.53522909717299</v>
      </c>
      <c r="O29" s="151"/>
      <c r="P29" s="171"/>
      <c r="Q29" s="171"/>
    </row>
    <row r="30" spans="1:17">
      <c r="I30" s="266"/>
      <c r="J30" s="266"/>
      <c r="O30" s="151"/>
      <c r="P30" s="171"/>
      <c r="Q30" s="171"/>
    </row>
    <row r="31" spans="1:17">
      <c r="A31" s="261"/>
      <c r="B31" s="261"/>
      <c r="C31" s="262"/>
      <c r="D31" s="5"/>
      <c r="E31" s="263"/>
      <c r="F31" s="5"/>
      <c r="G31" s="3"/>
      <c r="H31" s="264"/>
      <c r="I31" s="267"/>
      <c r="J31" s="268"/>
      <c r="K31" s="265"/>
      <c r="L31" s="261"/>
      <c r="M31" s="261"/>
      <c r="N31" s="7"/>
      <c r="O31" s="151"/>
      <c r="P31" s="171"/>
      <c r="Q31" s="171"/>
    </row>
    <row r="32" spans="1:17">
      <c r="A32" s="1" t="s">
        <v>76</v>
      </c>
      <c r="G32" s="3"/>
      <c r="H32" s="8"/>
      <c r="I32" s="266"/>
      <c r="J32" s="269"/>
      <c r="K32" s="7"/>
    </row>
    <row r="33" spans="1:13">
      <c r="A33" s="47"/>
      <c r="B33" s="1" t="s">
        <v>77</v>
      </c>
      <c r="E33" s="5"/>
      <c r="F33" s="3"/>
      <c r="G33" s="3"/>
      <c r="H33" s="8"/>
      <c r="J33" s="6"/>
      <c r="K33" s="7"/>
    </row>
    <row r="34" spans="1:13">
      <c r="A34" s="44"/>
      <c r="B34" s="43" t="s">
        <v>92</v>
      </c>
      <c r="C34" s="4"/>
      <c r="D34" s="5"/>
      <c r="E34" s="5"/>
      <c r="F34" s="3"/>
      <c r="G34" s="3"/>
      <c r="H34" s="8"/>
      <c r="J34" s="6"/>
      <c r="K34" s="7"/>
    </row>
    <row r="35" spans="1:13" ht="12.75">
      <c r="A35" s="46"/>
      <c r="B35" s="314" t="s">
        <v>91</v>
      </c>
      <c r="C35" s="315"/>
      <c r="D35" s="315"/>
      <c r="E35" s="315"/>
      <c r="F35" s="315"/>
      <c r="G35" s="315"/>
      <c r="H35" s="315"/>
      <c r="I35" s="315"/>
      <c r="J35" s="315"/>
      <c r="K35" s="316"/>
      <c r="L35" s="316"/>
      <c r="M35" s="316"/>
    </row>
    <row r="36" spans="1:13" ht="12.75" customHeight="1">
      <c r="A36" s="49"/>
      <c r="B36" s="317" t="s">
        <v>97</v>
      </c>
      <c r="C36" s="316"/>
      <c r="D36" s="316"/>
      <c r="E36" s="316"/>
      <c r="F36" s="316"/>
      <c r="G36" s="316"/>
      <c r="H36" s="316"/>
      <c r="I36" s="316"/>
      <c r="J36" s="316"/>
      <c r="K36" s="316"/>
      <c r="L36" s="316"/>
      <c r="M36" s="316"/>
    </row>
    <row r="37" spans="1:13" ht="12.75" customHeight="1">
      <c r="A37" s="51"/>
      <c r="B37" s="317" t="s">
        <v>93</v>
      </c>
      <c r="C37" s="316"/>
      <c r="D37" s="316"/>
      <c r="E37" s="316"/>
      <c r="F37" s="316"/>
      <c r="G37" s="316"/>
      <c r="H37" s="316"/>
      <c r="I37" s="6"/>
      <c r="J37" s="6"/>
      <c r="K37" s="7"/>
    </row>
    <row r="38" spans="1:13">
      <c r="B38" s="2"/>
      <c r="C38" s="4"/>
      <c r="D38" s="5"/>
      <c r="E38" s="5"/>
      <c r="F38" s="3"/>
      <c r="G38" s="3"/>
      <c r="H38" s="8"/>
      <c r="J38" s="6"/>
      <c r="K38" s="7"/>
    </row>
    <row r="39" spans="1:13" ht="18">
      <c r="A39" s="318" t="s">
        <v>118</v>
      </c>
      <c r="B39" s="319"/>
      <c r="C39" s="319"/>
      <c r="D39" s="319"/>
      <c r="E39" s="319"/>
      <c r="F39" s="319"/>
      <c r="G39" s="319"/>
      <c r="H39" s="319"/>
      <c r="I39" s="319"/>
      <c r="J39" s="320"/>
      <c r="K39"/>
    </row>
    <row r="40" spans="1:13" ht="33.75">
      <c r="A40" s="31" t="s">
        <v>20</v>
      </c>
      <c r="B40" s="31" t="s">
        <v>62</v>
      </c>
      <c r="C40" s="31" t="s">
        <v>63</v>
      </c>
      <c r="D40" s="31" t="s">
        <v>64</v>
      </c>
      <c r="E40" s="31" t="s">
        <v>65</v>
      </c>
      <c r="F40" s="31" t="s">
        <v>66</v>
      </c>
      <c r="G40" s="31" t="s">
        <v>67</v>
      </c>
      <c r="H40" s="31" t="s">
        <v>68</v>
      </c>
      <c r="I40" s="31" t="s">
        <v>99</v>
      </c>
      <c r="J40" s="31" t="s">
        <v>81</v>
      </c>
      <c r="K40"/>
    </row>
    <row r="41" spans="1:13" ht="12.75">
      <c r="A41" s="9">
        <v>67561</v>
      </c>
      <c r="B41" s="10" t="s">
        <v>17</v>
      </c>
      <c r="C41" s="11"/>
      <c r="D41" s="12"/>
      <c r="E41" s="12"/>
      <c r="F41" s="13"/>
      <c r="G41" s="13"/>
      <c r="H41" s="14"/>
      <c r="I41" s="15"/>
      <c r="J41" s="15"/>
      <c r="K41"/>
    </row>
    <row r="42" spans="1:13" ht="12.75">
      <c r="A42" s="9">
        <v>71432</v>
      </c>
      <c r="B42" s="17" t="s">
        <v>6</v>
      </c>
      <c r="C42" s="11"/>
      <c r="D42" s="12"/>
      <c r="E42" s="12"/>
      <c r="F42" s="13"/>
      <c r="G42" s="13"/>
      <c r="H42" s="14"/>
      <c r="I42" s="18"/>
      <c r="J42" s="15"/>
      <c r="K42"/>
    </row>
    <row r="43" spans="1:13" ht="12.75">
      <c r="A43" s="9">
        <v>75150</v>
      </c>
      <c r="B43" s="17" t="s">
        <v>13</v>
      </c>
      <c r="C43" s="11"/>
      <c r="D43" s="12"/>
      <c r="E43" s="12"/>
      <c r="F43" s="13"/>
      <c r="G43" s="13"/>
      <c r="H43" s="14"/>
      <c r="I43" s="18"/>
      <c r="J43" s="15"/>
      <c r="K43"/>
    </row>
    <row r="44" spans="1:13" ht="12.75">
      <c r="A44" s="9">
        <v>78933</v>
      </c>
      <c r="B44" s="10" t="s">
        <v>69</v>
      </c>
      <c r="C44" s="11"/>
      <c r="D44" s="12"/>
      <c r="E44" s="12"/>
      <c r="F44" s="13"/>
      <c r="G44" s="13"/>
      <c r="H44" s="14"/>
      <c r="I44" s="15"/>
      <c r="J44" s="15"/>
      <c r="K44"/>
    </row>
    <row r="45" spans="1:13" ht="12.75">
      <c r="A45" s="9">
        <v>91203</v>
      </c>
      <c r="B45" s="17" t="s">
        <v>9</v>
      </c>
      <c r="C45" s="11"/>
      <c r="D45" s="12"/>
      <c r="E45" s="12"/>
      <c r="F45" s="13"/>
      <c r="G45" s="13"/>
      <c r="H45" s="14"/>
      <c r="I45" s="15"/>
      <c r="J45" s="15"/>
      <c r="K45"/>
    </row>
    <row r="46" spans="1:13" ht="12.75">
      <c r="A46" s="9">
        <v>98828</v>
      </c>
      <c r="B46" s="19" t="s">
        <v>7</v>
      </c>
      <c r="C46" s="20"/>
      <c r="D46" s="21"/>
      <c r="E46" s="12"/>
      <c r="F46" s="13"/>
      <c r="G46" s="13"/>
      <c r="H46" s="14"/>
      <c r="I46" s="18"/>
      <c r="J46" s="15"/>
      <c r="K46"/>
    </row>
    <row r="47" spans="1:13" ht="12.75">
      <c r="A47" s="9">
        <v>100414</v>
      </c>
      <c r="B47" s="17" t="s">
        <v>8</v>
      </c>
      <c r="C47" s="11"/>
      <c r="D47" s="12"/>
      <c r="E47" s="12"/>
      <c r="F47" s="13"/>
      <c r="G47" s="13"/>
      <c r="H47" s="14"/>
      <c r="I47" s="18"/>
      <c r="J47" s="15"/>
      <c r="K47"/>
    </row>
    <row r="48" spans="1:13" ht="12.75">
      <c r="A48" s="9">
        <v>100425</v>
      </c>
      <c r="B48" s="17" t="s">
        <v>11</v>
      </c>
      <c r="C48" s="11"/>
      <c r="D48" s="12"/>
      <c r="E48" s="12"/>
      <c r="F48" s="13"/>
      <c r="G48" s="13"/>
      <c r="H48" s="14"/>
      <c r="I48" s="15"/>
      <c r="J48" s="15"/>
      <c r="K48"/>
    </row>
    <row r="49" spans="1:11" ht="12.75">
      <c r="A49" s="9">
        <v>106990</v>
      </c>
      <c r="B49" s="19" t="s">
        <v>70</v>
      </c>
      <c r="C49" s="32"/>
      <c r="D49" s="33"/>
      <c r="E49" s="33"/>
      <c r="F49" s="34"/>
      <c r="G49" s="34"/>
      <c r="H49" s="35"/>
      <c r="I49" s="36"/>
      <c r="J49" s="15"/>
      <c r="K49"/>
    </row>
    <row r="50" spans="1:11" ht="12.75">
      <c r="A50" s="9">
        <v>107211</v>
      </c>
      <c r="B50" s="19" t="s">
        <v>16</v>
      </c>
      <c r="C50" s="32"/>
      <c r="D50" s="33"/>
      <c r="E50" s="33"/>
      <c r="F50" s="34"/>
      <c r="G50" s="34"/>
      <c r="H50" s="35"/>
      <c r="I50" s="36"/>
      <c r="J50" s="15"/>
      <c r="K50"/>
    </row>
    <row r="51" spans="1:11" ht="12.75">
      <c r="A51" s="9">
        <v>108101</v>
      </c>
      <c r="B51" s="10" t="s">
        <v>71</v>
      </c>
      <c r="C51" s="32"/>
      <c r="D51" s="33"/>
      <c r="E51" s="33"/>
      <c r="F51" s="34"/>
      <c r="G51" s="34"/>
      <c r="H51" s="35"/>
      <c r="I51" s="37"/>
      <c r="J51" s="15"/>
      <c r="K51"/>
    </row>
    <row r="52" spans="1:11" ht="12.75">
      <c r="A52" s="9">
        <v>108883</v>
      </c>
      <c r="B52" s="17" t="s">
        <v>12</v>
      </c>
      <c r="C52" s="32"/>
      <c r="D52" s="33"/>
      <c r="E52" s="33"/>
      <c r="F52" s="34"/>
      <c r="G52" s="34"/>
      <c r="H52" s="35"/>
      <c r="I52" s="37"/>
      <c r="J52" s="15"/>
      <c r="K52"/>
    </row>
    <row r="53" spans="1:11" ht="12.75">
      <c r="A53" s="9">
        <v>108952</v>
      </c>
      <c r="B53" s="17" t="s">
        <v>10</v>
      </c>
      <c r="C53" s="32"/>
      <c r="D53" s="33"/>
      <c r="E53" s="33"/>
      <c r="F53" s="34"/>
      <c r="G53" s="34"/>
      <c r="H53" s="35"/>
      <c r="I53" s="37"/>
      <c r="J53" s="15"/>
      <c r="K53"/>
    </row>
    <row r="54" spans="1:11" ht="12.75">
      <c r="A54" s="9">
        <v>110543</v>
      </c>
      <c r="B54" s="19" t="s">
        <v>72</v>
      </c>
      <c r="C54" s="32"/>
      <c r="D54" s="33"/>
      <c r="E54" s="33"/>
      <c r="F54" s="34"/>
      <c r="G54" s="34"/>
      <c r="H54" s="35"/>
      <c r="I54" s="37"/>
      <c r="J54" s="15"/>
      <c r="K54"/>
    </row>
    <row r="55" spans="1:11" ht="12.75">
      <c r="A55" s="9">
        <v>1319773</v>
      </c>
      <c r="B55" s="19" t="s">
        <v>73</v>
      </c>
      <c r="C55" s="32"/>
      <c r="D55" s="33"/>
      <c r="E55" s="33"/>
      <c r="F55" s="34"/>
      <c r="G55" s="34"/>
      <c r="H55" s="35"/>
      <c r="I55" s="36"/>
      <c r="J55" s="15"/>
      <c r="K55"/>
    </row>
    <row r="56" spans="1:11" ht="12.75">
      <c r="A56" s="9">
        <v>1330207</v>
      </c>
      <c r="B56" s="26" t="s">
        <v>74</v>
      </c>
      <c r="C56" s="32"/>
      <c r="D56" s="33"/>
      <c r="E56" s="33"/>
      <c r="F56" s="34"/>
      <c r="G56" s="34"/>
      <c r="H56" s="35"/>
      <c r="I56" s="37"/>
      <c r="J56" s="15"/>
      <c r="K56"/>
    </row>
    <row r="57" spans="1:11" ht="12.75">
      <c r="A57" s="9">
        <v>1634044</v>
      </c>
      <c r="B57" s="19" t="s">
        <v>75</v>
      </c>
      <c r="C57" s="32"/>
      <c r="D57" s="33"/>
      <c r="E57" s="33"/>
      <c r="F57" s="34"/>
      <c r="G57" s="34"/>
      <c r="H57" s="38"/>
      <c r="I57" s="37"/>
      <c r="J57" s="15"/>
      <c r="K57"/>
    </row>
    <row r="58" spans="1:11" ht="12.75">
      <c r="A58" s="9">
        <v>92524</v>
      </c>
      <c r="B58" s="26" t="s">
        <v>78</v>
      </c>
      <c r="C58" s="39"/>
      <c r="D58" s="33"/>
      <c r="E58" s="33"/>
      <c r="F58" s="34"/>
      <c r="G58" s="34"/>
      <c r="H58" s="40"/>
      <c r="I58" s="35"/>
      <c r="J58" s="15"/>
      <c r="K58"/>
    </row>
    <row r="59" spans="1:11" ht="12.75">
      <c r="A59" s="9">
        <v>463581</v>
      </c>
      <c r="B59" s="9" t="s">
        <v>14</v>
      </c>
      <c r="C59" s="35"/>
      <c r="D59" s="35"/>
      <c r="E59" s="35"/>
      <c r="F59" s="35"/>
      <c r="G59" s="34"/>
      <c r="H59" s="40"/>
      <c r="I59" s="35"/>
      <c r="J59" s="15"/>
      <c r="K59"/>
    </row>
    <row r="60" spans="1:11" ht="12.75">
      <c r="A60" s="9">
        <v>107062</v>
      </c>
      <c r="B60" s="9" t="s">
        <v>79</v>
      </c>
      <c r="C60" s="14"/>
      <c r="D60" s="14"/>
      <c r="E60" s="14"/>
      <c r="F60" s="14"/>
      <c r="G60" s="13"/>
      <c r="H60" s="29"/>
      <c r="I60" s="14"/>
      <c r="J60" s="15"/>
      <c r="K60"/>
    </row>
    <row r="61" spans="1:11" ht="12.75">
      <c r="A61" s="30">
        <v>111422</v>
      </c>
      <c r="B61" s="9" t="s">
        <v>15</v>
      </c>
      <c r="C61" s="14"/>
      <c r="D61" s="14"/>
      <c r="E61" s="14"/>
      <c r="F61" s="14"/>
      <c r="G61" s="13"/>
      <c r="H61" s="29"/>
      <c r="I61" s="14"/>
      <c r="J61" s="15"/>
      <c r="K61"/>
    </row>
    <row r="62" spans="1:11" ht="12.75">
      <c r="A62" s="30">
        <v>540841</v>
      </c>
      <c r="B62" s="9" t="s">
        <v>80</v>
      </c>
      <c r="C62" s="14"/>
      <c r="D62" s="14"/>
      <c r="E62" s="14"/>
      <c r="F62" s="14"/>
      <c r="G62" s="13"/>
      <c r="H62" s="29"/>
      <c r="I62" s="14"/>
      <c r="J62" s="15"/>
      <c r="K62"/>
    </row>
    <row r="63" spans="1:11" ht="12.75">
      <c r="A63" s="9"/>
      <c r="B63" s="9" t="s">
        <v>59</v>
      </c>
      <c r="C63" s="9"/>
      <c r="D63" s="9"/>
      <c r="E63" s="9"/>
      <c r="F63" s="174"/>
      <c r="G63" s="9"/>
      <c r="H63" s="9"/>
      <c r="I63" s="174"/>
      <c r="J63" s="9"/>
      <c r="K63"/>
    </row>
    <row r="64" spans="1:11" ht="12.75">
      <c r="A64" s="9"/>
      <c r="B64" s="9" t="s">
        <v>60</v>
      </c>
      <c r="C64" s="9"/>
      <c r="D64" s="9"/>
      <c r="E64" s="9"/>
      <c r="F64" s="174"/>
      <c r="G64" s="9"/>
      <c r="H64" s="9"/>
      <c r="I64" s="174"/>
      <c r="J64" s="9"/>
      <c r="K64"/>
    </row>
    <row r="65" spans="1:11" ht="12.75">
      <c r="A65" s="9"/>
      <c r="B65" s="9" t="s">
        <v>61</v>
      </c>
      <c r="C65" s="9"/>
      <c r="D65" s="9"/>
      <c r="E65" s="9"/>
      <c r="F65" s="174"/>
      <c r="G65" s="9"/>
      <c r="H65" s="9"/>
      <c r="I65" s="174"/>
      <c r="J65" s="9"/>
      <c r="K65"/>
    </row>
    <row r="66" spans="1:11" ht="12.75">
      <c r="A66" s="9">
        <v>106978</v>
      </c>
      <c r="B66" s="9" t="s">
        <v>256</v>
      </c>
      <c r="C66" s="9"/>
      <c r="D66" s="9"/>
      <c r="E66" s="9"/>
      <c r="F66" s="9"/>
      <c r="G66" s="9"/>
      <c r="H66" s="9"/>
      <c r="I66" s="9"/>
      <c r="J66" s="9"/>
      <c r="K66"/>
    </row>
    <row r="67" spans="1:11" ht="12.75">
      <c r="K67"/>
    </row>
    <row r="68" spans="1:11" ht="12.75">
      <c r="A68" s="261"/>
      <c r="B68" s="261"/>
      <c r="C68" s="261"/>
      <c r="D68" s="261"/>
      <c r="E68" s="261"/>
      <c r="F68" s="261"/>
      <c r="G68" s="261"/>
      <c r="H68" s="261"/>
      <c r="I68" s="261"/>
      <c r="J68" s="261"/>
      <c r="K68"/>
    </row>
    <row r="69" spans="1:11" ht="12.75">
      <c r="K69"/>
    </row>
    <row r="70" spans="1:11">
      <c r="A70" s="1" t="s">
        <v>95</v>
      </c>
    </row>
    <row r="71" spans="1:11">
      <c r="A71" s="1" t="s">
        <v>96</v>
      </c>
    </row>
    <row r="72" spans="1:11">
      <c r="A72" s="1" t="s">
        <v>98</v>
      </c>
    </row>
    <row r="74" spans="1:11">
      <c r="A74" s="233"/>
      <c r="B74" s="233"/>
      <c r="C74" s="233"/>
      <c r="D74" s="233"/>
      <c r="E74" s="234"/>
      <c r="F74" s="233"/>
      <c r="G74" s="233"/>
      <c r="H74" s="233"/>
      <c r="I74" s="233"/>
      <c r="J74" s="233"/>
      <c r="K74" s="233"/>
    </row>
    <row r="75" spans="1:11" ht="20.25">
      <c r="A75" s="313"/>
      <c r="B75" s="313"/>
      <c r="C75" s="313"/>
      <c r="D75" s="313"/>
      <c r="E75" s="313"/>
      <c r="F75" s="313"/>
      <c r="G75" s="313"/>
      <c r="H75" s="313"/>
      <c r="I75" s="313"/>
      <c r="J75" s="313"/>
      <c r="K75" s="313"/>
    </row>
    <row r="76" spans="1:11">
      <c r="A76" s="235"/>
      <c r="B76" s="235"/>
      <c r="C76" s="235"/>
      <c r="D76" s="235"/>
      <c r="E76" s="235"/>
      <c r="F76" s="235"/>
      <c r="G76" s="235"/>
      <c r="H76" s="235"/>
      <c r="I76" s="235"/>
      <c r="J76" s="235"/>
      <c r="K76" s="235"/>
    </row>
    <row r="77" spans="1:11">
      <c r="A77" s="233"/>
      <c r="B77" s="236"/>
      <c r="C77" s="237"/>
      <c r="D77" s="238"/>
      <c r="E77" s="238"/>
      <c r="F77" s="239"/>
      <c r="G77" s="239"/>
      <c r="H77" s="240"/>
      <c r="I77" s="241"/>
      <c r="J77" s="241"/>
      <c r="K77" s="240"/>
    </row>
    <row r="78" spans="1:11">
      <c r="A78" s="233"/>
      <c r="B78" s="242"/>
      <c r="C78" s="237"/>
      <c r="D78" s="238"/>
      <c r="E78" s="238"/>
      <c r="F78" s="239"/>
      <c r="G78" s="239"/>
      <c r="H78" s="240"/>
      <c r="I78" s="243"/>
      <c r="J78" s="241"/>
      <c r="K78" s="240"/>
    </row>
    <row r="79" spans="1:11">
      <c r="A79" s="233"/>
      <c r="B79" s="242"/>
      <c r="C79" s="237"/>
      <c r="D79" s="238"/>
      <c r="E79" s="238"/>
      <c r="F79" s="239"/>
      <c r="G79" s="239"/>
      <c r="H79" s="240"/>
      <c r="I79" s="243"/>
      <c r="J79" s="241"/>
      <c r="K79" s="240"/>
    </row>
    <row r="80" spans="1:11">
      <c r="A80" s="233"/>
      <c r="B80" s="236"/>
      <c r="C80" s="237"/>
      <c r="D80" s="238"/>
      <c r="E80" s="238"/>
      <c r="F80" s="239"/>
      <c r="G80" s="239"/>
      <c r="H80" s="240"/>
      <c r="I80" s="241"/>
      <c r="J80" s="241"/>
      <c r="K80" s="240"/>
    </row>
    <row r="81" spans="1:11">
      <c r="A81" s="233"/>
      <c r="B81" s="242"/>
      <c r="C81" s="237"/>
      <c r="D81" s="238"/>
      <c r="E81" s="238"/>
      <c r="F81" s="239"/>
      <c r="G81" s="239"/>
      <c r="H81" s="240"/>
      <c r="I81" s="241"/>
      <c r="J81" s="241"/>
      <c r="K81" s="240"/>
    </row>
    <row r="82" spans="1:11">
      <c r="A82" s="233"/>
      <c r="B82" s="244"/>
      <c r="C82" s="245"/>
      <c r="D82" s="246"/>
      <c r="E82" s="238"/>
      <c r="F82" s="239"/>
      <c r="G82" s="239"/>
      <c r="H82" s="240"/>
      <c r="I82" s="243"/>
      <c r="J82" s="241"/>
      <c r="K82" s="240"/>
    </row>
    <row r="83" spans="1:11">
      <c r="A83" s="233"/>
      <c r="B83" s="242"/>
      <c r="C83" s="237"/>
      <c r="D83" s="238"/>
      <c r="E83" s="238"/>
      <c r="F83" s="239"/>
      <c r="G83" s="239"/>
      <c r="H83" s="240"/>
      <c r="I83" s="243"/>
      <c r="J83" s="241"/>
      <c r="K83" s="240"/>
    </row>
    <row r="84" spans="1:11">
      <c r="A84" s="233"/>
      <c r="B84" s="242"/>
      <c r="C84" s="237"/>
      <c r="D84" s="238"/>
      <c r="E84" s="238"/>
      <c r="F84" s="239"/>
      <c r="G84" s="239"/>
      <c r="H84" s="240"/>
      <c r="I84" s="241"/>
      <c r="J84" s="241"/>
      <c r="K84" s="240"/>
    </row>
    <row r="85" spans="1:11">
      <c r="A85" s="233"/>
      <c r="B85" s="244"/>
      <c r="C85" s="237"/>
      <c r="D85" s="238"/>
      <c r="E85" s="238"/>
      <c r="F85" s="239"/>
      <c r="G85" s="239"/>
      <c r="H85" s="240"/>
      <c r="I85" s="243"/>
      <c r="J85" s="241"/>
      <c r="K85" s="240"/>
    </row>
    <row r="86" spans="1:11">
      <c r="A86" s="233"/>
      <c r="B86" s="244"/>
      <c r="C86" s="237"/>
      <c r="D86" s="238"/>
      <c r="E86" s="238"/>
      <c r="F86" s="239"/>
      <c r="G86" s="239"/>
      <c r="H86" s="240"/>
      <c r="I86" s="243"/>
      <c r="J86" s="241"/>
      <c r="K86" s="240"/>
    </row>
    <row r="87" spans="1:11">
      <c r="A87" s="233"/>
      <c r="B87" s="236"/>
      <c r="C87" s="237"/>
      <c r="D87" s="238"/>
      <c r="E87" s="238"/>
      <c r="F87" s="239"/>
      <c r="G87" s="239"/>
      <c r="H87" s="240"/>
      <c r="I87" s="241"/>
      <c r="J87" s="241"/>
      <c r="K87" s="240"/>
    </row>
    <row r="88" spans="1:11">
      <c r="A88" s="233"/>
      <c r="B88" s="242"/>
      <c r="C88" s="237"/>
      <c r="D88" s="238"/>
      <c r="E88" s="238"/>
      <c r="F88" s="239"/>
      <c r="G88" s="239"/>
      <c r="H88" s="240"/>
      <c r="I88" s="241"/>
      <c r="J88" s="241"/>
      <c r="K88" s="240"/>
    </row>
    <row r="89" spans="1:11">
      <c r="A89" s="233"/>
      <c r="B89" s="242"/>
      <c r="C89" s="237"/>
      <c r="D89" s="238"/>
      <c r="E89" s="238"/>
      <c r="F89" s="239"/>
      <c r="G89" s="239"/>
      <c r="H89" s="240"/>
      <c r="I89" s="241"/>
      <c r="J89" s="241"/>
      <c r="K89" s="240"/>
    </row>
    <row r="90" spans="1:11">
      <c r="A90" s="233"/>
      <c r="B90" s="244"/>
      <c r="C90" s="237"/>
      <c r="D90" s="238"/>
      <c r="E90" s="238"/>
      <c r="F90" s="239"/>
      <c r="G90" s="239"/>
      <c r="H90" s="240"/>
      <c r="I90" s="241"/>
      <c r="J90" s="241"/>
      <c r="K90" s="240"/>
    </row>
    <row r="91" spans="1:11">
      <c r="A91" s="233"/>
      <c r="B91" s="244"/>
      <c r="C91" s="237"/>
      <c r="D91" s="238"/>
      <c r="E91" s="238"/>
      <c r="F91" s="239"/>
      <c r="G91" s="239"/>
      <c r="H91" s="240"/>
      <c r="I91" s="243"/>
      <c r="J91" s="241"/>
      <c r="K91" s="240"/>
    </row>
    <row r="92" spans="1:11">
      <c r="A92" s="233"/>
      <c r="B92" s="247"/>
      <c r="C92" s="237"/>
      <c r="D92" s="238"/>
      <c r="E92" s="238"/>
      <c r="F92" s="239"/>
      <c r="G92" s="239"/>
      <c r="H92" s="240"/>
      <c r="I92" s="241"/>
      <c r="J92" s="241"/>
      <c r="K92" s="240"/>
    </row>
    <row r="93" spans="1:11">
      <c r="A93" s="233"/>
      <c r="B93" s="244"/>
      <c r="C93" s="237"/>
      <c r="D93" s="238"/>
      <c r="E93" s="238"/>
      <c r="F93" s="239"/>
      <c r="G93" s="239"/>
      <c r="H93" s="248"/>
      <c r="I93" s="241"/>
      <c r="J93" s="241"/>
      <c r="K93" s="240"/>
    </row>
    <row r="94" spans="1:11">
      <c r="A94" s="233"/>
      <c r="B94" s="247"/>
      <c r="C94" s="249"/>
      <c r="D94" s="238"/>
      <c r="E94" s="238"/>
      <c r="F94" s="239"/>
      <c r="G94" s="239"/>
      <c r="H94" s="250"/>
      <c r="I94" s="240"/>
      <c r="J94" s="241"/>
      <c r="K94" s="240"/>
    </row>
    <row r="95" spans="1:11">
      <c r="A95" s="233"/>
      <c r="B95" s="233"/>
      <c r="C95" s="240"/>
      <c r="D95" s="240"/>
      <c r="E95" s="240"/>
      <c r="F95" s="238"/>
      <c r="G95" s="239"/>
      <c r="H95" s="250"/>
      <c r="I95" s="240"/>
      <c r="J95" s="241"/>
      <c r="K95" s="240"/>
    </row>
    <row r="96" spans="1:11">
      <c r="A96" s="233"/>
      <c r="B96" s="233"/>
      <c r="C96" s="240"/>
      <c r="D96" s="240"/>
      <c r="E96" s="240"/>
      <c r="F96" s="238"/>
      <c r="G96" s="239"/>
      <c r="H96" s="250"/>
      <c r="I96" s="240"/>
      <c r="J96" s="241"/>
      <c r="K96" s="240"/>
    </row>
    <row r="97" spans="1:11">
      <c r="A97" s="233"/>
      <c r="B97" s="233"/>
      <c r="C97" s="240"/>
      <c r="D97" s="238"/>
      <c r="E97" s="238"/>
      <c r="F97" s="238"/>
      <c r="G97" s="239"/>
      <c r="H97" s="250"/>
      <c r="I97" s="240"/>
      <c r="J97" s="241"/>
      <c r="K97" s="240"/>
    </row>
    <row r="98" spans="1:11">
      <c r="A98" s="233"/>
      <c r="B98" s="233"/>
      <c r="C98" s="240"/>
      <c r="D98" s="240"/>
      <c r="E98" s="240"/>
      <c r="F98" s="238"/>
      <c r="G98" s="239"/>
      <c r="H98" s="250"/>
      <c r="I98" s="240"/>
      <c r="J98" s="241"/>
      <c r="K98" s="240"/>
    </row>
    <row r="99" spans="1:11">
      <c r="A99" s="233"/>
      <c r="B99" s="233"/>
      <c r="C99" s="240"/>
      <c r="D99" s="240"/>
      <c r="E99" s="240"/>
      <c r="F99" s="238"/>
      <c r="G99" s="239"/>
      <c r="H99" s="250"/>
      <c r="I99" s="240"/>
      <c r="J99" s="241"/>
      <c r="K99" s="240"/>
    </row>
    <row r="100" spans="1:11">
      <c r="A100" s="233"/>
      <c r="B100" s="233"/>
      <c r="C100" s="240"/>
      <c r="D100" s="240"/>
      <c r="E100" s="240"/>
      <c r="F100" s="238"/>
      <c r="G100" s="240"/>
      <c r="H100" s="240"/>
      <c r="I100" s="238"/>
      <c r="J100" s="240"/>
      <c r="K100" s="238"/>
    </row>
    <row r="101" spans="1:11">
      <c r="A101" s="233"/>
      <c r="B101" s="233"/>
      <c r="C101" s="240"/>
      <c r="D101" s="240"/>
      <c r="E101" s="240"/>
      <c r="F101" s="238"/>
      <c r="G101" s="240"/>
      <c r="H101" s="240"/>
      <c r="I101" s="238"/>
      <c r="J101" s="240"/>
      <c r="K101" s="238"/>
    </row>
    <row r="102" spans="1:11">
      <c r="A102" s="233"/>
      <c r="B102" s="233"/>
      <c r="C102" s="240"/>
      <c r="D102" s="240"/>
      <c r="E102" s="240"/>
      <c r="F102" s="238"/>
      <c r="G102" s="240"/>
      <c r="H102" s="240"/>
      <c r="I102" s="238"/>
      <c r="J102" s="240"/>
      <c r="K102" s="238"/>
    </row>
    <row r="103" spans="1:11">
      <c r="A103" s="233"/>
      <c r="B103" s="233"/>
      <c r="C103" s="240"/>
      <c r="D103" s="240"/>
      <c r="E103" s="240"/>
      <c r="F103" s="238"/>
      <c r="G103" s="240"/>
      <c r="H103" s="240"/>
      <c r="I103" s="240"/>
      <c r="J103" s="241"/>
      <c r="K103" s="240"/>
    </row>
    <row r="104" spans="1:11">
      <c r="A104" s="233"/>
      <c r="B104" s="233"/>
      <c r="C104" s="240"/>
      <c r="D104" s="240"/>
      <c r="E104" s="240"/>
      <c r="F104" s="238"/>
      <c r="G104" s="240"/>
      <c r="H104" s="240"/>
      <c r="I104" s="240"/>
      <c r="J104" s="241"/>
      <c r="K104" s="240"/>
    </row>
    <row r="105" spans="1:11">
      <c r="A105" s="233"/>
      <c r="B105" s="233"/>
      <c r="C105" s="233"/>
      <c r="D105" s="233"/>
      <c r="E105" s="233"/>
      <c r="F105" s="233"/>
      <c r="G105" s="233"/>
      <c r="H105" s="233"/>
      <c r="I105" s="233"/>
      <c r="J105" s="233"/>
      <c r="K105" s="233"/>
    </row>
    <row r="106" spans="1:11">
      <c r="A106" s="233"/>
      <c r="B106" s="233"/>
      <c r="C106" s="233"/>
      <c r="D106" s="233"/>
      <c r="E106" s="233"/>
      <c r="F106" s="233"/>
      <c r="G106" s="233"/>
      <c r="H106" s="233"/>
      <c r="I106" s="233"/>
      <c r="J106" s="233"/>
      <c r="K106" s="233"/>
    </row>
    <row r="107" spans="1:11">
      <c r="A107" s="233"/>
      <c r="B107" s="233"/>
      <c r="C107" s="233"/>
      <c r="D107" s="233"/>
      <c r="E107" s="233"/>
      <c r="F107" s="233"/>
      <c r="G107" s="233"/>
      <c r="H107" s="233"/>
      <c r="I107" s="233"/>
      <c r="J107" s="233"/>
      <c r="K107" s="233"/>
    </row>
    <row r="108" spans="1:11">
      <c r="A108" s="233"/>
      <c r="B108" s="233"/>
      <c r="C108" s="233"/>
      <c r="D108" s="233"/>
      <c r="E108" s="233"/>
      <c r="F108" s="233"/>
      <c r="G108" s="233"/>
      <c r="H108" s="233"/>
      <c r="I108" s="233"/>
      <c r="J108" s="233"/>
      <c r="K108" s="233"/>
    </row>
    <row r="109" spans="1:11">
      <c r="A109" s="233"/>
      <c r="B109" s="233"/>
      <c r="C109" s="233"/>
      <c r="D109" s="233"/>
      <c r="E109" s="233"/>
      <c r="F109" s="233"/>
      <c r="G109" s="233"/>
      <c r="H109" s="233"/>
      <c r="I109" s="233"/>
      <c r="J109" s="233"/>
      <c r="K109" s="233"/>
    </row>
    <row r="110" spans="1:11">
      <c r="A110" s="235"/>
      <c r="B110" s="235"/>
      <c r="C110" s="235"/>
      <c r="D110" s="235"/>
      <c r="E110" s="235"/>
      <c r="F110" s="235"/>
      <c r="G110" s="235"/>
      <c r="H110" s="235"/>
      <c r="I110" s="233"/>
      <c r="J110" s="233"/>
      <c r="K110" s="233"/>
    </row>
    <row r="111" spans="1:11">
      <c r="A111" s="233"/>
      <c r="B111" s="236"/>
      <c r="C111" s="237"/>
      <c r="D111" s="237"/>
      <c r="E111" s="250"/>
      <c r="F111" s="251"/>
      <c r="G111" s="252"/>
      <c r="H111" s="253"/>
      <c r="I111" s="233"/>
      <c r="J111" s="233"/>
      <c r="K111" s="233"/>
    </row>
    <row r="112" spans="1:11">
      <c r="A112" s="233"/>
      <c r="B112" s="242"/>
      <c r="C112" s="237"/>
      <c r="D112" s="237"/>
      <c r="E112" s="250"/>
      <c r="F112" s="251"/>
      <c r="G112" s="252"/>
      <c r="H112" s="253"/>
      <c r="I112" s="233"/>
      <c r="J112" s="233"/>
      <c r="K112" s="233"/>
    </row>
    <row r="113" spans="1:11">
      <c r="A113" s="233"/>
      <c r="B113" s="242"/>
      <c r="C113" s="237"/>
      <c r="D113" s="237"/>
      <c r="E113" s="250"/>
      <c r="F113" s="251"/>
      <c r="G113" s="252"/>
      <c r="H113" s="253"/>
      <c r="I113" s="233"/>
      <c r="J113" s="233"/>
      <c r="K113" s="233"/>
    </row>
    <row r="114" spans="1:11">
      <c r="A114" s="233"/>
      <c r="B114" s="236"/>
      <c r="C114" s="237"/>
      <c r="D114" s="237"/>
      <c r="E114" s="250"/>
      <c r="F114" s="251"/>
      <c r="G114" s="252"/>
      <c r="H114" s="253"/>
      <c r="I114" s="233"/>
      <c r="J114" s="233"/>
      <c r="K114" s="233"/>
    </row>
    <row r="115" spans="1:11">
      <c r="A115" s="233"/>
      <c r="B115" s="242"/>
      <c r="C115" s="237"/>
      <c r="D115" s="237"/>
      <c r="E115" s="250"/>
      <c r="F115" s="251"/>
      <c r="G115" s="252"/>
      <c r="H115" s="253"/>
      <c r="I115" s="233"/>
      <c r="J115" s="233"/>
      <c r="K115" s="233"/>
    </row>
    <row r="116" spans="1:11">
      <c r="A116" s="233"/>
      <c r="B116" s="244"/>
      <c r="C116" s="245"/>
      <c r="D116" s="245"/>
      <c r="E116" s="250"/>
      <c r="F116" s="251"/>
      <c r="G116" s="252"/>
      <c r="H116" s="253"/>
      <c r="I116" s="233"/>
      <c r="J116" s="233"/>
      <c r="K116" s="233"/>
    </row>
    <row r="117" spans="1:11">
      <c r="A117" s="233"/>
      <c r="B117" s="242"/>
      <c r="C117" s="237"/>
      <c r="D117" s="237"/>
      <c r="E117" s="250"/>
      <c r="F117" s="251"/>
      <c r="G117" s="252"/>
      <c r="H117" s="253"/>
      <c r="I117" s="233"/>
      <c r="J117" s="233"/>
      <c r="K117" s="233"/>
    </row>
    <row r="118" spans="1:11">
      <c r="A118" s="233"/>
      <c r="B118" s="242"/>
      <c r="C118" s="237"/>
      <c r="D118" s="237"/>
      <c r="E118" s="250"/>
      <c r="F118" s="251"/>
      <c r="G118" s="252"/>
      <c r="H118" s="253"/>
      <c r="I118" s="233"/>
      <c r="J118" s="233"/>
      <c r="K118" s="233"/>
    </row>
    <row r="119" spans="1:11">
      <c r="A119" s="233"/>
      <c r="B119" s="244"/>
      <c r="C119" s="237"/>
      <c r="D119" s="237"/>
      <c r="E119" s="250"/>
      <c r="F119" s="251"/>
      <c r="G119" s="252"/>
      <c r="H119" s="253"/>
      <c r="I119" s="233"/>
      <c r="J119" s="233"/>
      <c r="K119" s="233"/>
    </row>
    <row r="120" spans="1:11">
      <c r="A120" s="233"/>
      <c r="B120" s="244"/>
      <c r="C120" s="237"/>
      <c r="D120" s="237"/>
      <c r="E120" s="250"/>
      <c r="F120" s="251"/>
      <c r="G120" s="252"/>
      <c r="H120" s="253"/>
      <c r="I120" s="233"/>
      <c r="J120" s="233"/>
      <c r="K120" s="233"/>
    </row>
    <row r="121" spans="1:11">
      <c r="A121" s="233"/>
      <c r="B121" s="236"/>
      <c r="C121" s="237"/>
      <c r="D121" s="237"/>
      <c r="E121" s="250"/>
      <c r="F121" s="251"/>
      <c r="G121" s="252"/>
      <c r="H121" s="253"/>
      <c r="I121" s="233"/>
      <c r="J121" s="233"/>
      <c r="K121" s="233"/>
    </row>
    <row r="122" spans="1:11">
      <c r="A122" s="233"/>
      <c r="B122" s="242"/>
      <c r="C122" s="237"/>
      <c r="D122" s="237"/>
      <c r="E122" s="250"/>
      <c r="F122" s="251"/>
      <c r="G122" s="252"/>
      <c r="H122" s="253"/>
      <c r="I122" s="233"/>
      <c r="J122" s="233"/>
      <c r="K122" s="233"/>
    </row>
    <row r="123" spans="1:11">
      <c r="A123" s="233"/>
      <c r="B123" s="242"/>
      <c r="C123" s="237"/>
      <c r="D123" s="237"/>
      <c r="E123" s="250"/>
      <c r="F123" s="251"/>
      <c r="G123" s="252"/>
      <c r="H123" s="253"/>
      <c r="I123" s="233"/>
      <c r="J123" s="233"/>
      <c r="K123" s="233"/>
    </row>
    <row r="124" spans="1:11">
      <c r="A124" s="233"/>
      <c r="B124" s="244"/>
      <c r="C124" s="237"/>
      <c r="D124" s="237"/>
      <c r="E124" s="250"/>
      <c r="F124" s="251"/>
      <c r="G124" s="252"/>
      <c r="H124" s="253"/>
      <c r="I124" s="233"/>
      <c r="J124" s="233"/>
      <c r="K124" s="233"/>
    </row>
    <row r="125" spans="1:11">
      <c r="A125" s="233"/>
      <c r="B125" s="244"/>
      <c r="C125" s="237"/>
      <c r="D125" s="237"/>
      <c r="E125" s="250"/>
      <c r="F125" s="251"/>
      <c r="G125" s="252"/>
      <c r="H125" s="253"/>
      <c r="I125" s="233"/>
      <c r="J125" s="233"/>
      <c r="K125" s="233"/>
    </row>
    <row r="126" spans="1:11">
      <c r="A126" s="233"/>
      <c r="B126" s="247"/>
      <c r="C126" s="237"/>
      <c r="D126" s="237"/>
      <c r="E126" s="250"/>
      <c r="F126" s="251"/>
      <c r="G126" s="252"/>
      <c r="H126" s="253"/>
      <c r="I126" s="233"/>
      <c r="J126" s="233"/>
      <c r="K126" s="233"/>
    </row>
    <row r="127" spans="1:11">
      <c r="A127" s="233"/>
      <c r="B127" s="244"/>
      <c r="C127" s="237"/>
      <c r="D127" s="237"/>
      <c r="E127" s="250"/>
      <c r="F127" s="251"/>
      <c r="G127" s="252"/>
      <c r="H127" s="253"/>
      <c r="I127" s="233"/>
      <c r="J127" s="233"/>
      <c r="K127" s="233"/>
    </row>
    <row r="128" spans="1:11">
      <c r="A128" s="233"/>
      <c r="B128" s="247"/>
      <c r="C128" s="249"/>
      <c r="D128" s="249"/>
      <c r="E128" s="250"/>
      <c r="F128" s="251"/>
      <c r="G128" s="252"/>
      <c r="H128" s="253"/>
      <c r="I128" s="233"/>
      <c r="J128" s="233"/>
      <c r="K128" s="233"/>
    </row>
    <row r="129" spans="1:11">
      <c r="A129" s="233"/>
      <c r="B129" s="233"/>
      <c r="C129" s="240"/>
      <c r="D129" s="240"/>
      <c r="E129" s="250"/>
      <c r="F129" s="251"/>
      <c r="G129" s="252"/>
      <c r="H129" s="253"/>
      <c r="I129" s="233"/>
      <c r="J129" s="233"/>
      <c r="K129" s="233"/>
    </row>
    <row r="130" spans="1:11">
      <c r="A130" s="233"/>
      <c r="B130" s="233"/>
      <c r="C130" s="240"/>
      <c r="D130" s="240"/>
      <c r="E130" s="250"/>
      <c r="F130" s="251"/>
      <c r="G130" s="252"/>
      <c r="H130" s="253"/>
      <c r="I130" s="233"/>
      <c r="J130" s="233"/>
      <c r="K130" s="233"/>
    </row>
    <row r="131" spans="1:11">
      <c r="A131" s="233"/>
      <c r="B131" s="233"/>
      <c r="C131" s="240"/>
      <c r="D131" s="240"/>
      <c r="E131" s="250"/>
      <c r="F131" s="251"/>
      <c r="G131" s="252"/>
      <c r="H131" s="253"/>
      <c r="I131" s="233"/>
      <c r="J131" s="233"/>
      <c r="K131" s="233"/>
    </row>
    <row r="132" spans="1:11">
      <c r="A132" s="233"/>
      <c r="B132" s="233"/>
      <c r="C132" s="240"/>
      <c r="D132" s="240"/>
      <c r="E132" s="250"/>
      <c r="F132" s="251"/>
      <c r="G132" s="252"/>
      <c r="H132" s="253"/>
      <c r="I132" s="233"/>
      <c r="J132" s="233"/>
      <c r="K132" s="233"/>
    </row>
    <row r="133" spans="1:11">
      <c r="A133" s="233"/>
      <c r="B133" s="233"/>
      <c r="C133" s="240"/>
      <c r="D133" s="240"/>
      <c r="E133" s="250"/>
      <c r="F133" s="251"/>
      <c r="G133" s="252"/>
      <c r="H133" s="253"/>
      <c r="I133" s="233"/>
      <c r="J133" s="233"/>
      <c r="K133" s="233"/>
    </row>
    <row r="134" spans="1:11">
      <c r="A134" s="233"/>
      <c r="B134" s="233"/>
      <c r="C134" s="240"/>
      <c r="D134" s="240"/>
      <c r="E134" s="250"/>
      <c r="F134" s="251"/>
      <c r="G134" s="252"/>
      <c r="H134" s="253"/>
      <c r="I134" s="233"/>
      <c r="J134" s="233"/>
      <c r="K134" s="233"/>
    </row>
    <row r="135" spans="1:11">
      <c r="A135" s="233"/>
      <c r="B135" s="233"/>
      <c r="C135" s="240"/>
      <c r="D135" s="240"/>
      <c r="E135" s="250"/>
      <c r="F135" s="251"/>
      <c r="G135" s="252"/>
      <c r="H135" s="253"/>
      <c r="I135" s="233"/>
      <c r="J135" s="233"/>
      <c r="K135" s="233"/>
    </row>
    <row r="136" spans="1:11">
      <c r="A136" s="233"/>
      <c r="B136" s="233"/>
      <c r="C136" s="240"/>
      <c r="D136" s="240"/>
      <c r="E136" s="250"/>
      <c r="F136" s="251"/>
      <c r="G136" s="252"/>
      <c r="H136" s="253"/>
      <c r="I136" s="233"/>
      <c r="J136" s="233"/>
      <c r="K136" s="233"/>
    </row>
    <row r="137" spans="1:11">
      <c r="A137" s="233"/>
      <c r="B137" s="233"/>
      <c r="C137" s="240"/>
      <c r="D137" s="240"/>
      <c r="E137" s="250"/>
      <c r="F137" s="251"/>
      <c r="G137" s="252"/>
      <c r="H137" s="253"/>
      <c r="I137" s="233"/>
      <c r="J137" s="233"/>
      <c r="K137" s="233"/>
    </row>
    <row r="138" spans="1:11">
      <c r="A138" s="233"/>
      <c r="B138" s="233"/>
      <c r="C138" s="240"/>
      <c r="D138" s="240"/>
      <c r="E138" s="250"/>
      <c r="F138" s="251"/>
      <c r="G138" s="252"/>
      <c r="H138" s="253"/>
      <c r="I138" s="233"/>
      <c r="J138" s="233"/>
      <c r="K138" s="233"/>
    </row>
  </sheetData>
  <mergeCells count="6">
    <mergeCell ref="A75:K75"/>
    <mergeCell ref="B35:M35"/>
    <mergeCell ref="B36:M36"/>
    <mergeCell ref="B37:H37"/>
    <mergeCell ref="A2:J2"/>
    <mergeCell ref="A39:J39"/>
  </mergeCells>
  <phoneticPr fontId="5" type="noConversion"/>
  <pageMargins left="0.75" right="0.75" top="1" bottom="1" header="0.5" footer="0.5"/>
  <pageSetup scale="3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00000"/>
    <pageSetUpPr fitToPage="1"/>
  </sheetPr>
  <dimension ref="A1:G34"/>
  <sheetViews>
    <sheetView workbookViewId="0">
      <selection activeCell="E2" sqref="E2"/>
    </sheetView>
  </sheetViews>
  <sheetFormatPr defaultRowHeight="12.75"/>
  <cols>
    <col min="1" max="1" width="43.5703125" style="54" customWidth="1"/>
    <col min="2" max="2" width="9.140625" style="54"/>
    <col min="3" max="3" width="18.7109375" style="54" customWidth="1"/>
    <col min="4" max="4" width="3.85546875" style="54" customWidth="1"/>
    <col min="5" max="5" width="44" style="54" customWidth="1"/>
    <col min="6" max="16384" width="9.140625" style="54"/>
  </cols>
  <sheetData>
    <row r="1" spans="1:7" ht="81.75" customHeight="1">
      <c r="A1" s="300" t="s">
        <v>263</v>
      </c>
      <c r="B1" s="300"/>
      <c r="C1" s="300"/>
      <c r="D1" s="57"/>
      <c r="E1" s="57"/>
      <c r="F1" s="57"/>
      <c r="G1" s="57"/>
    </row>
    <row r="2" spans="1:7">
      <c r="A2" s="68" t="s">
        <v>101</v>
      </c>
      <c r="B2" s="68" t="s">
        <v>4</v>
      </c>
      <c r="C2" s="68" t="s">
        <v>5</v>
      </c>
      <c r="D2" s="58"/>
      <c r="E2" s="57"/>
      <c r="F2" s="57"/>
      <c r="G2" s="57"/>
    </row>
    <row r="3" spans="1:7" ht="14.25">
      <c r="A3" s="56" t="s">
        <v>128</v>
      </c>
      <c r="B3" s="66">
        <v>1</v>
      </c>
      <c r="C3" s="59" t="s">
        <v>19</v>
      </c>
      <c r="D3" s="58"/>
      <c r="E3" s="57"/>
      <c r="F3" s="57"/>
      <c r="G3" s="57"/>
    </row>
    <row r="4" spans="1:7" ht="15.75">
      <c r="A4" s="56" t="s">
        <v>129</v>
      </c>
      <c r="B4" s="66">
        <v>10</v>
      </c>
      <c r="C4" s="59" t="s">
        <v>19</v>
      </c>
      <c r="D4" s="58"/>
      <c r="E4" s="57"/>
      <c r="F4" s="57"/>
      <c r="G4" s="57"/>
    </row>
    <row r="5" spans="1:7">
      <c r="A5" s="57"/>
      <c r="B5" s="57"/>
      <c r="C5" s="57"/>
      <c r="D5" s="58"/>
      <c r="E5" s="57"/>
      <c r="F5" s="57"/>
      <c r="G5" s="57"/>
    </row>
    <row r="6" spans="1:7" ht="14.25">
      <c r="A6" s="298" t="s">
        <v>106</v>
      </c>
      <c r="B6" s="299"/>
      <c r="C6" s="299"/>
      <c r="D6" s="58"/>
      <c r="E6" s="298" t="s">
        <v>100</v>
      </c>
      <c r="F6" s="299"/>
      <c r="G6" s="299"/>
    </row>
    <row r="7" spans="1:7" ht="14.25" customHeight="1">
      <c r="A7" s="60" t="s">
        <v>17</v>
      </c>
      <c r="B7" s="67">
        <v>1</v>
      </c>
      <c r="C7" s="59" t="s">
        <v>18</v>
      </c>
      <c r="D7" s="58"/>
      <c r="E7" s="60" t="s">
        <v>17</v>
      </c>
      <c r="F7" s="61">
        <f>($B$3*B7)/($B$4)</f>
        <v>0.1</v>
      </c>
      <c r="G7" s="59" t="s">
        <v>18</v>
      </c>
    </row>
    <row r="8" spans="1:7" ht="14.25">
      <c r="A8" s="62" t="s">
        <v>6</v>
      </c>
      <c r="B8" s="67">
        <v>1</v>
      </c>
      <c r="C8" s="59" t="s">
        <v>18</v>
      </c>
      <c r="D8" s="58"/>
      <c r="E8" s="62" t="s">
        <v>6</v>
      </c>
      <c r="F8" s="61">
        <f t="shared" ref="F8:F32" si="0">($B$3*B8)/($B$4)</f>
        <v>0.1</v>
      </c>
      <c r="G8" s="59" t="s">
        <v>18</v>
      </c>
    </row>
    <row r="9" spans="1:7" ht="14.25" customHeight="1">
      <c r="A9" s="62" t="s">
        <v>13</v>
      </c>
      <c r="B9" s="67">
        <v>1</v>
      </c>
      <c r="C9" s="59" t="s">
        <v>18</v>
      </c>
      <c r="D9" s="58"/>
      <c r="E9" s="62" t="s">
        <v>13</v>
      </c>
      <c r="F9" s="61">
        <f t="shared" si="0"/>
        <v>0.1</v>
      </c>
      <c r="G9" s="59" t="s">
        <v>18</v>
      </c>
    </row>
    <row r="10" spans="1:7" ht="14.25" customHeight="1">
      <c r="A10" s="60" t="s">
        <v>69</v>
      </c>
      <c r="B10" s="67">
        <v>1</v>
      </c>
      <c r="C10" s="59" t="s">
        <v>18</v>
      </c>
      <c r="D10" s="58"/>
      <c r="E10" s="60" t="s">
        <v>69</v>
      </c>
      <c r="F10" s="61">
        <f t="shared" si="0"/>
        <v>0.1</v>
      </c>
      <c r="G10" s="59" t="s">
        <v>18</v>
      </c>
    </row>
    <row r="11" spans="1:7" ht="14.25" customHeight="1">
      <c r="A11" s="62" t="s">
        <v>9</v>
      </c>
      <c r="B11" s="67">
        <v>1</v>
      </c>
      <c r="C11" s="59" t="s">
        <v>18</v>
      </c>
      <c r="D11" s="58"/>
      <c r="E11" s="62" t="s">
        <v>9</v>
      </c>
      <c r="F11" s="61">
        <f t="shared" si="0"/>
        <v>0.1</v>
      </c>
      <c r="G11" s="59" t="s">
        <v>18</v>
      </c>
    </row>
    <row r="12" spans="1:7" ht="14.25" customHeight="1">
      <c r="A12" s="63" t="s">
        <v>7</v>
      </c>
      <c r="B12" s="67">
        <v>0</v>
      </c>
      <c r="C12" s="59" t="s">
        <v>18</v>
      </c>
      <c r="D12" s="58"/>
      <c r="E12" s="63" t="s">
        <v>7</v>
      </c>
      <c r="F12" s="61">
        <f t="shared" si="0"/>
        <v>0</v>
      </c>
      <c r="G12" s="59" t="s">
        <v>18</v>
      </c>
    </row>
    <row r="13" spans="1:7" ht="14.25" customHeight="1">
      <c r="A13" s="62" t="s">
        <v>8</v>
      </c>
      <c r="B13" s="67">
        <v>0</v>
      </c>
      <c r="C13" s="59" t="s">
        <v>18</v>
      </c>
      <c r="D13" s="58"/>
      <c r="E13" s="62" t="s">
        <v>8</v>
      </c>
      <c r="F13" s="61">
        <f t="shared" si="0"/>
        <v>0</v>
      </c>
      <c r="G13" s="59" t="s">
        <v>18</v>
      </c>
    </row>
    <row r="14" spans="1:7" ht="14.25" customHeight="1">
      <c r="A14" s="62" t="s">
        <v>11</v>
      </c>
      <c r="B14" s="67">
        <v>0</v>
      </c>
      <c r="C14" s="59" t="s">
        <v>18</v>
      </c>
      <c r="D14" s="58"/>
      <c r="E14" s="62" t="s">
        <v>11</v>
      </c>
      <c r="F14" s="61">
        <f t="shared" si="0"/>
        <v>0</v>
      </c>
      <c r="G14" s="59" t="s">
        <v>18</v>
      </c>
    </row>
    <row r="15" spans="1:7" ht="14.25" customHeight="1">
      <c r="A15" s="63" t="s">
        <v>70</v>
      </c>
      <c r="B15" s="67">
        <v>0</v>
      </c>
      <c r="C15" s="59" t="s">
        <v>18</v>
      </c>
      <c r="D15" s="58"/>
      <c r="E15" s="63" t="s">
        <v>70</v>
      </c>
      <c r="F15" s="61">
        <f t="shared" si="0"/>
        <v>0</v>
      </c>
      <c r="G15" s="59" t="s">
        <v>18</v>
      </c>
    </row>
    <row r="16" spans="1:7" ht="14.25" customHeight="1">
      <c r="A16" s="63" t="s">
        <v>16</v>
      </c>
      <c r="B16" s="67">
        <v>0</v>
      </c>
      <c r="C16" s="59" t="s">
        <v>18</v>
      </c>
      <c r="D16" s="58"/>
      <c r="E16" s="63" t="s">
        <v>16</v>
      </c>
      <c r="F16" s="61">
        <f t="shared" si="0"/>
        <v>0</v>
      </c>
      <c r="G16" s="59" t="s">
        <v>18</v>
      </c>
    </row>
    <row r="17" spans="1:7" ht="14.25" customHeight="1">
      <c r="A17" s="60" t="s">
        <v>71</v>
      </c>
      <c r="B17" s="67">
        <v>0</v>
      </c>
      <c r="C17" s="59" t="s">
        <v>18</v>
      </c>
      <c r="D17" s="58"/>
      <c r="E17" s="60" t="s">
        <v>71</v>
      </c>
      <c r="F17" s="61">
        <f t="shared" si="0"/>
        <v>0</v>
      </c>
      <c r="G17" s="59" t="s">
        <v>18</v>
      </c>
    </row>
    <row r="18" spans="1:7" ht="14.25" customHeight="1">
      <c r="A18" s="62" t="s">
        <v>12</v>
      </c>
      <c r="B18" s="67">
        <v>0</v>
      </c>
      <c r="C18" s="59" t="s">
        <v>18</v>
      </c>
      <c r="D18" s="58"/>
      <c r="E18" s="62" t="s">
        <v>12</v>
      </c>
      <c r="F18" s="61">
        <f t="shared" si="0"/>
        <v>0</v>
      </c>
      <c r="G18" s="59" t="s">
        <v>18</v>
      </c>
    </row>
    <row r="19" spans="1:7" ht="14.25" customHeight="1">
      <c r="A19" s="62" t="s">
        <v>10</v>
      </c>
      <c r="B19" s="67">
        <v>0</v>
      </c>
      <c r="C19" s="59" t="s">
        <v>18</v>
      </c>
      <c r="D19" s="58"/>
      <c r="E19" s="62" t="s">
        <v>10</v>
      </c>
      <c r="F19" s="61">
        <f t="shared" si="0"/>
        <v>0</v>
      </c>
      <c r="G19" s="59" t="s">
        <v>18</v>
      </c>
    </row>
    <row r="20" spans="1:7" ht="14.25" customHeight="1">
      <c r="A20" s="63" t="s">
        <v>72</v>
      </c>
      <c r="B20" s="67">
        <v>0</v>
      </c>
      <c r="C20" s="59" t="s">
        <v>18</v>
      </c>
      <c r="D20" s="58"/>
      <c r="E20" s="63" t="s">
        <v>72</v>
      </c>
      <c r="F20" s="61">
        <f t="shared" si="0"/>
        <v>0</v>
      </c>
      <c r="G20" s="59" t="s">
        <v>18</v>
      </c>
    </row>
    <row r="21" spans="1:7" ht="14.25" customHeight="1">
      <c r="A21" s="63" t="s">
        <v>73</v>
      </c>
      <c r="B21" s="67">
        <v>0</v>
      </c>
      <c r="C21" s="59" t="s">
        <v>18</v>
      </c>
      <c r="D21" s="58"/>
      <c r="E21" s="63" t="s">
        <v>73</v>
      </c>
      <c r="F21" s="61">
        <f t="shared" si="0"/>
        <v>0</v>
      </c>
      <c r="G21" s="59" t="s">
        <v>18</v>
      </c>
    </row>
    <row r="22" spans="1:7" ht="14.25" customHeight="1">
      <c r="A22" s="64" t="s">
        <v>74</v>
      </c>
      <c r="B22" s="67">
        <v>0</v>
      </c>
      <c r="C22" s="59" t="s">
        <v>18</v>
      </c>
      <c r="D22" s="58"/>
      <c r="E22" s="64" t="s">
        <v>74</v>
      </c>
      <c r="F22" s="61">
        <f t="shared" si="0"/>
        <v>0</v>
      </c>
      <c r="G22" s="59" t="s">
        <v>18</v>
      </c>
    </row>
    <row r="23" spans="1:7" ht="14.25" customHeight="1">
      <c r="A23" s="63" t="s">
        <v>75</v>
      </c>
      <c r="B23" s="67">
        <v>0</v>
      </c>
      <c r="C23" s="59" t="s">
        <v>18</v>
      </c>
      <c r="D23" s="58"/>
      <c r="E23" s="63" t="s">
        <v>75</v>
      </c>
      <c r="F23" s="61">
        <f t="shared" si="0"/>
        <v>0</v>
      </c>
      <c r="G23" s="59" t="s">
        <v>18</v>
      </c>
    </row>
    <row r="24" spans="1:7" ht="14.25" customHeight="1">
      <c r="A24" s="64" t="s">
        <v>78</v>
      </c>
      <c r="B24" s="67">
        <v>0</v>
      </c>
      <c r="C24" s="59" t="s">
        <v>18</v>
      </c>
      <c r="D24" s="58"/>
      <c r="E24" s="64" t="s">
        <v>78</v>
      </c>
      <c r="F24" s="61">
        <f t="shared" si="0"/>
        <v>0</v>
      </c>
      <c r="G24" s="59" t="s">
        <v>18</v>
      </c>
    </row>
    <row r="25" spans="1:7" ht="14.25" customHeight="1">
      <c r="A25" s="65" t="s">
        <v>14</v>
      </c>
      <c r="B25" s="67">
        <v>0</v>
      </c>
      <c r="C25" s="59" t="s">
        <v>18</v>
      </c>
      <c r="D25" s="58"/>
      <c r="E25" s="65" t="s">
        <v>14</v>
      </c>
      <c r="F25" s="61">
        <f t="shared" si="0"/>
        <v>0</v>
      </c>
      <c r="G25" s="59" t="s">
        <v>18</v>
      </c>
    </row>
    <row r="26" spans="1:7" ht="14.25" customHeight="1">
      <c r="A26" s="65" t="s">
        <v>79</v>
      </c>
      <c r="B26" s="67">
        <v>0</v>
      </c>
      <c r="C26" s="59" t="s">
        <v>18</v>
      </c>
      <c r="D26" s="58"/>
      <c r="E26" s="65" t="s">
        <v>79</v>
      </c>
      <c r="F26" s="61">
        <f t="shared" si="0"/>
        <v>0</v>
      </c>
      <c r="G26" s="59" t="s">
        <v>18</v>
      </c>
    </row>
    <row r="27" spans="1:7" ht="14.25" customHeight="1">
      <c r="A27" s="65" t="s">
        <v>15</v>
      </c>
      <c r="B27" s="67">
        <v>0</v>
      </c>
      <c r="C27" s="59" t="s">
        <v>18</v>
      </c>
      <c r="D27" s="58"/>
      <c r="E27" s="65" t="s">
        <v>15</v>
      </c>
      <c r="F27" s="61">
        <f t="shared" si="0"/>
        <v>0</v>
      </c>
      <c r="G27" s="59" t="s">
        <v>18</v>
      </c>
    </row>
    <row r="28" spans="1:7" ht="14.25" customHeight="1">
      <c r="A28" s="65" t="s">
        <v>80</v>
      </c>
      <c r="B28" s="67">
        <v>0</v>
      </c>
      <c r="C28" s="59" t="s">
        <v>18</v>
      </c>
      <c r="D28" s="58"/>
      <c r="E28" s="65" t="s">
        <v>80</v>
      </c>
      <c r="F28" s="61">
        <f t="shared" si="0"/>
        <v>0</v>
      </c>
      <c r="G28" s="59" t="s">
        <v>18</v>
      </c>
    </row>
    <row r="29" spans="1:7" ht="14.25" customHeight="1">
      <c r="A29" s="65" t="s">
        <v>59</v>
      </c>
      <c r="B29" s="67">
        <v>0</v>
      </c>
      <c r="C29" s="59" t="s">
        <v>18</v>
      </c>
      <c r="D29" s="58"/>
      <c r="E29" s="65" t="s">
        <v>59</v>
      </c>
      <c r="F29" s="61">
        <f t="shared" si="0"/>
        <v>0</v>
      </c>
      <c r="G29" s="59" t="s">
        <v>18</v>
      </c>
    </row>
    <row r="30" spans="1:7" ht="14.25" customHeight="1">
      <c r="A30" s="65" t="s">
        <v>60</v>
      </c>
      <c r="B30" s="67">
        <v>0</v>
      </c>
      <c r="C30" s="59" t="s">
        <v>18</v>
      </c>
      <c r="D30" s="58"/>
      <c r="E30" s="65" t="s">
        <v>60</v>
      </c>
      <c r="F30" s="61">
        <f t="shared" si="0"/>
        <v>0</v>
      </c>
      <c r="G30" s="59" t="s">
        <v>18</v>
      </c>
    </row>
    <row r="31" spans="1:7" ht="14.25">
      <c r="A31" s="81" t="s">
        <v>61</v>
      </c>
      <c r="B31" s="67">
        <v>0</v>
      </c>
      <c r="C31" s="82" t="s">
        <v>18</v>
      </c>
      <c r="D31" s="58"/>
      <c r="E31" s="81" t="s">
        <v>61</v>
      </c>
      <c r="F31" s="61">
        <f t="shared" si="0"/>
        <v>0</v>
      </c>
      <c r="G31" s="82" t="s">
        <v>18</v>
      </c>
    </row>
    <row r="32" spans="1:7" ht="14.25">
      <c r="A32" s="65" t="s">
        <v>255</v>
      </c>
      <c r="B32" s="67">
        <v>0</v>
      </c>
      <c r="C32" s="59" t="s">
        <v>18</v>
      </c>
      <c r="D32" s="214"/>
      <c r="E32" s="65" t="s">
        <v>255</v>
      </c>
      <c r="F32" s="61">
        <f t="shared" si="0"/>
        <v>0</v>
      </c>
      <c r="G32" s="59" t="s">
        <v>18</v>
      </c>
    </row>
    <row r="33" spans="1:7">
      <c r="A33" s="91"/>
      <c r="B33" s="213"/>
      <c r="C33" s="79"/>
      <c r="D33" s="88"/>
      <c r="E33" s="91"/>
      <c r="F33" s="213"/>
      <c r="G33" s="79"/>
    </row>
    <row r="34" spans="1:7">
      <c r="A34" s="57"/>
      <c r="B34" s="57"/>
      <c r="C34" s="57"/>
      <c r="D34" s="57"/>
      <c r="E34" s="57"/>
      <c r="F34" s="57"/>
      <c r="G34" s="57"/>
    </row>
  </sheetData>
  <mergeCells count="3">
    <mergeCell ref="A6:C6"/>
    <mergeCell ref="E6:G6"/>
    <mergeCell ref="A1:C1"/>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sheetPr>
    <tabColor theme="2" tint="-9.9978637043366805E-2"/>
  </sheetPr>
  <dimension ref="A1:CC125"/>
  <sheetViews>
    <sheetView workbookViewId="0">
      <selection activeCell="B4" sqref="B4"/>
    </sheetView>
  </sheetViews>
  <sheetFormatPr defaultRowHeight="12.75"/>
  <cols>
    <col min="1" max="1" width="36" style="54" customWidth="1"/>
    <col min="2" max="3" width="13.5703125" style="54" customWidth="1"/>
    <col min="4" max="4" width="13.7109375" style="54" customWidth="1"/>
    <col min="5" max="5" width="9.140625" style="54"/>
    <col min="6" max="6" width="13.85546875" style="54" customWidth="1"/>
    <col min="7" max="7" width="9.140625" style="54"/>
    <col min="8" max="8" width="10.28515625" style="54" customWidth="1"/>
    <col min="9" max="9" width="12.42578125" style="54" bestFit="1" customWidth="1"/>
    <col min="10" max="10" width="13.42578125" style="54" customWidth="1"/>
    <col min="11" max="11" width="9.140625" style="54"/>
    <col min="12" max="12" width="10.7109375" style="54" customWidth="1"/>
    <col min="13" max="13" width="9.42578125" style="54" bestFit="1" customWidth="1"/>
    <col min="14" max="14" width="14.85546875" style="54" customWidth="1"/>
    <col min="15" max="15" width="9.140625" style="54"/>
    <col min="16" max="16" width="11.5703125" style="54" customWidth="1"/>
    <col min="17" max="17" width="10" style="54" bestFit="1" customWidth="1"/>
    <col min="18" max="18" width="16.5703125" style="54" customWidth="1"/>
    <col min="19" max="19" width="9.140625" style="54"/>
    <col min="20" max="20" width="12.28515625" style="54" customWidth="1"/>
    <col min="21" max="21" width="9.140625" style="54"/>
    <col min="22" max="22" width="15.140625" style="54" customWidth="1"/>
    <col min="23" max="23" width="9.140625" style="54"/>
    <col min="24" max="24" width="11.5703125" style="54" customWidth="1"/>
    <col min="25" max="25" width="9.140625" style="54"/>
    <col min="26" max="26" width="14.42578125" style="54" customWidth="1"/>
    <col min="27" max="27" width="9.140625" style="54"/>
    <col min="28" max="28" width="12.42578125" style="54" customWidth="1"/>
    <col min="29" max="29" width="9.140625" style="54"/>
    <col min="30" max="30" width="14.42578125" style="54" customWidth="1"/>
    <col min="31" max="31" width="9.140625" style="54"/>
    <col min="32" max="32" width="12.140625" style="54" customWidth="1"/>
    <col min="33" max="33" width="9.140625" style="54"/>
    <col min="34" max="34" width="15" style="54" customWidth="1"/>
    <col min="35" max="35" width="9.140625" style="54"/>
    <col min="36" max="36" width="12.7109375" style="54" customWidth="1"/>
    <col min="37" max="37" width="9.140625" style="54"/>
    <col min="38" max="38" width="16.140625" style="54" customWidth="1"/>
    <col min="39" max="39" width="9.140625" style="54"/>
    <col min="40" max="40" width="12.140625" style="54" customWidth="1"/>
    <col min="41" max="41" width="9.140625" style="54"/>
    <col min="42" max="42" width="13.85546875" style="54" customWidth="1"/>
    <col min="43" max="43" width="9.140625" style="54"/>
    <col min="44" max="44" width="12" style="54" customWidth="1"/>
    <col min="45" max="45" width="9.140625" style="54"/>
    <col min="46" max="46" width="14.140625" style="54" customWidth="1"/>
    <col min="47" max="47" width="9.140625" style="54"/>
    <col min="48" max="48" width="11.28515625" style="54" customWidth="1"/>
    <col min="49" max="49" width="9.140625" style="54"/>
    <col min="50" max="50" width="13.42578125" style="54" customWidth="1"/>
    <col min="51" max="51" width="9.140625" style="54"/>
    <col min="52" max="52" width="12.140625" style="54" customWidth="1"/>
    <col min="53" max="53" width="9.140625" style="54"/>
    <col min="54" max="54" width="15.28515625" style="54" customWidth="1"/>
    <col min="55" max="55" width="9.140625" style="54"/>
    <col min="56" max="56" width="11" style="54" customWidth="1"/>
    <col min="57" max="57" width="9.140625" style="54"/>
    <col min="58" max="58" width="15" style="54" customWidth="1"/>
    <col min="59" max="59" width="9.140625" style="54"/>
    <col min="60" max="60" width="10.85546875" style="54" customWidth="1"/>
    <col min="61" max="61" width="9.140625" style="54"/>
    <col min="62" max="62" width="14.85546875" style="54" customWidth="1"/>
    <col min="63" max="63" width="9.140625" style="54"/>
    <col min="64" max="64" width="12.140625" style="54" customWidth="1"/>
    <col min="65" max="65" width="9.140625" style="54"/>
    <col min="66" max="66" width="14" style="54" customWidth="1"/>
    <col min="67" max="67" width="9.140625" style="54"/>
    <col min="68" max="68" width="11.42578125" style="54" customWidth="1"/>
    <col min="69" max="69" width="9.140625" style="54"/>
    <col min="70" max="70" width="14.28515625" style="54" customWidth="1"/>
    <col min="71" max="71" width="9.140625" style="54"/>
    <col min="72" max="72" width="12.42578125" style="54" customWidth="1"/>
    <col min="73" max="73" width="9.140625" style="54"/>
    <col min="74" max="74" width="14.140625" style="54" customWidth="1"/>
    <col min="75" max="75" width="9.140625" style="54"/>
    <col min="76" max="76" width="12.28515625" style="54" customWidth="1"/>
    <col min="77" max="77" width="9.140625" style="54"/>
    <col min="78" max="78" width="15.42578125" style="54" customWidth="1"/>
    <col min="79" max="79" width="9.140625" style="54"/>
    <col min="80" max="80" width="13.42578125" style="54" customWidth="1"/>
    <col min="81" max="16384" width="9.140625" style="54"/>
  </cols>
  <sheetData>
    <row r="1" spans="1:21" ht="66.75" customHeight="1">
      <c r="A1" s="305" t="s">
        <v>264</v>
      </c>
      <c r="B1" s="300"/>
      <c r="C1" s="300"/>
      <c r="D1" s="300"/>
      <c r="E1" s="300"/>
    </row>
    <row r="3" spans="1:21" ht="51">
      <c r="A3" s="186" t="s">
        <v>200</v>
      </c>
      <c r="B3" s="187" t="s">
        <v>204</v>
      </c>
      <c r="C3" s="187" t="s">
        <v>205</v>
      </c>
      <c r="D3" s="187" t="s">
        <v>206</v>
      </c>
      <c r="E3" s="187" t="s">
        <v>207</v>
      </c>
      <c r="F3" s="187" t="s">
        <v>208</v>
      </c>
      <c r="G3" s="187" t="s">
        <v>209</v>
      </c>
      <c r="H3" s="187" t="s">
        <v>210</v>
      </c>
      <c r="I3" s="187" t="s">
        <v>211</v>
      </c>
      <c r="J3" s="187" t="s">
        <v>212</v>
      </c>
      <c r="K3" s="187" t="s">
        <v>213</v>
      </c>
      <c r="L3" s="187" t="s">
        <v>214</v>
      </c>
      <c r="M3" s="187" t="s">
        <v>215</v>
      </c>
      <c r="N3" s="187" t="s">
        <v>216</v>
      </c>
      <c r="O3" s="187" t="s">
        <v>217</v>
      </c>
      <c r="P3" s="187" t="s">
        <v>218</v>
      </c>
      <c r="Q3" s="187" t="s">
        <v>219</v>
      </c>
      <c r="R3" s="187" t="s">
        <v>220</v>
      </c>
      <c r="S3" s="187" t="s">
        <v>221</v>
      </c>
      <c r="T3" s="187" t="s">
        <v>222</v>
      </c>
      <c r="U3" s="187" t="s">
        <v>223</v>
      </c>
    </row>
    <row r="4" spans="1:21">
      <c r="A4" s="71" t="s">
        <v>235</v>
      </c>
      <c r="B4" s="275">
        <v>0</v>
      </c>
      <c r="C4" s="275">
        <v>0</v>
      </c>
      <c r="D4" s="275">
        <v>0</v>
      </c>
      <c r="E4" s="275">
        <v>0</v>
      </c>
      <c r="F4" s="275">
        <v>0</v>
      </c>
      <c r="G4" s="275">
        <v>0</v>
      </c>
      <c r="H4" s="275">
        <v>0</v>
      </c>
      <c r="I4" s="275">
        <v>0</v>
      </c>
      <c r="J4" s="275">
        <v>0</v>
      </c>
      <c r="K4" s="275">
        <v>0</v>
      </c>
      <c r="L4" s="275">
        <v>0</v>
      </c>
      <c r="M4" s="275">
        <v>0</v>
      </c>
      <c r="N4" s="275">
        <v>0</v>
      </c>
      <c r="O4" s="275">
        <v>0</v>
      </c>
      <c r="P4" s="275">
        <v>0</v>
      </c>
      <c r="Q4" s="275">
        <v>0</v>
      </c>
      <c r="R4" s="275">
        <v>0</v>
      </c>
      <c r="S4" s="275">
        <v>0</v>
      </c>
      <c r="T4" s="275">
        <v>0</v>
      </c>
      <c r="U4" s="275">
        <v>0</v>
      </c>
    </row>
    <row r="5" spans="1:21">
      <c r="A5" s="71" t="s">
        <v>234</v>
      </c>
      <c r="B5" s="275">
        <v>0</v>
      </c>
      <c r="C5" s="275">
        <v>0</v>
      </c>
      <c r="D5" s="275">
        <v>0</v>
      </c>
      <c r="E5" s="275">
        <v>0</v>
      </c>
      <c r="F5" s="275">
        <v>0</v>
      </c>
      <c r="G5" s="275">
        <v>0</v>
      </c>
      <c r="H5" s="275">
        <v>0</v>
      </c>
      <c r="I5" s="275">
        <v>0</v>
      </c>
      <c r="J5" s="275">
        <v>0</v>
      </c>
      <c r="K5" s="275">
        <v>0</v>
      </c>
      <c r="L5" s="275">
        <v>0</v>
      </c>
      <c r="M5" s="275">
        <v>0</v>
      </c>
      <c r="N5" s="275">
        <v>0</v>
      </c>
      <c r="O5" s="275">
        <v>0</v>
      </c>
      <c r="P5" s="275">
        <v>0</v>
      </c>
      <c r="Q5" s="275">
        <v>0</v>
      </c>
      <c r="R5" s="275">
        <v>0</v>
      </c>
      <c r="S5" s="275">
        <v>0</v>
      </c>
      <c r="T5" s="275">
        <v>0</v>
      </c>
      <c r="U5" s="275">
        <v>0</v>
      </c>
    </row>
    <row r="6" spans="1:21">
      <c r="A6" s="71" t="s">
        <v>203</v>
      </c>
      <c r="B6" s="275">
        <v>0</v>
      </c>
      <c r="C6" s="275">
        <v>0</v>
      </c>
      <c r="D6" s="275">
        <v>0</v>
      </c>
      <c r="E6" s="275">
        <v>0</v>
      </c>
      <c r="F6" s="275">
        <v>0</v>
      </c>
      <c r="G6" s="275">
        <v>0</v>
      </c>
      <c r="H6" s="275">
        <v>0</v>
      </c>
      <c r="I6" s="275">
        <v>0</v>
      </c>
      <c r="J6" s="275">
        <v>0</v>
      </c>
      <c r="K6" s="275">
        <v>0</v>
      </c>
      <c r="L6" s="275">
        <v>0</v>
      </c>
      <c r="M6" s="275">
        <v>0</v>
      </c>
      <c r="N6" s="275">
        <v>0</v>
      </c>
      <c r="O6" s="275">
        <v>0</v>
      </c>
      <c r="P6" s="275">
        <v>0</v>
      </c>
      <c r="Q6" s="275">
        <v>0</v>
      </c>
      <c r="R6" s="275">
        <v>0</v>
      </c>
      <c r="S6" s="275">
        <v>0</v>
      </c>
      <c r="T6" s="275">
        <v>0</v>
      </c>
      <c r="U6" s="275">
        <v>0</v>
      </c>
    </row>
    <row r="7" spans="1:21">
      <c r="A7" s="71" t="s">
        <v>236</v>
      </c>
      <c r="B7" s="275">
        <v>0</v>
      </c>
      <c r="C7" s="275">
        <v>0</v>
      </c>
      <c r="D7" s="275">
        <v>0</v>
      </c>
      <c r="E7" s="275">
        <v>0</v>
      </c>
      <c r="F7" s="275">
        <v>0</v>
      </c>
      <c r="G7" s="275">
        <v>0</v>
      </c>
      <c r="H7" s="275">
        <v>0</v>
      </c>
      <c r="I7" s="275">
        <v>0</v>
      </c>
      <c r="J7" s="275">
        <v>0</v>
      </c>
      <c r="K7" s="275">
        <v>0</v>
      </c>
      <c r="L7" s="275">
        <v>0</v>
      </c>
      <c r="M7" s="275">
        <v>0</v>
      </c>
      <c r="N7" s="275">
        <v>0</v>
      </c>
      <c r="O7" s="275">
        <v>0</v>
      </c>
      <c r="P7" s="275">
        <v>0</v>
      </c>
      <c r="Q7" s="275">
        <v>0</v>
      </c>
      <c r="R7" s="275">
        <v>0</v>
      </c>
      <c r="S7" s="275">
        <v>0</v>
      </c>
      <c r="T7" s="275">
        <v>0</v>
      </c>
      <c r="U7" s="275">
        <v>0</v>
      </c>
    </row>
    <row r="8" spans="1:21">
      <c r="A8" s="71" t="s">
        <v>225</v>
      </c>
      <c r="B8" s="275">
        <v>0</v>
      </c>
      <c r="C8" s="275">
        <v>0</v>
      </c>
      <c r="D8" s="275">
        <v>0</v>
      </c>
      <c r="E8" s="275">
        <v>0</v>
      </c>
      <c r="F8" s="275">
        <v>0</v>
      </c>
      <c r="G8" s="275">
        <v>0</v>
      </c>
      <c r="H8" s="275">
        <v>0</v>
      </c>
      <c r="I8" s="275">
        <v>0</v>
      </c>
      <c r="J8" s="275">
        <v>0</v>
      </c>
      <c r="K8" s="275">
        <v>0</v>
      </c>
      <c r="L8" s="275">
        <v>0</v>
      </c>
      <c r="M8" s="275">
        <v>0</v>
      </c>
      <c r="N8" s="275">
        <v>0</v>
      </c>
      <c r="O8" s="275">
        <v>0</v>
      </c>
      <c r="P8" s="275">
        <v>0</v>
      </c>
      <c r="Q8" s="275">
        <v>0</v>
      </c>
      <c r="R8" s="275">
        <v>0</v>
      </c>
      <c r="S8" s="275">
        <v>0</v>
      </c>
      <c r="T8" s="275">
        <v>0</v>
      </c>
      <c r="U8" s="275">
        <v>0</v>
      </c>
    </row>
    <row r="9" spans="1:21">
      <c r="A9" s="71" t="s">
        <v>238</v>
      </c>
      <c r="B9" s="275">
        <v>0</v>
      </c>
      <c r="C9" s="275">
        <v>0</v>
      </c>
      <c r="D9" s="275">
        <v>0</v>
      </c>
      <c r="E9" s="275">
        <v>0</v>
      </c>
      <c r="F9" s="275">
        <v>0</v>
      </c>
      <c r="G9" s="275">
        <v>0</v>
      </c>
      <c r="H9" s="275">
        <v>0</v>
      </c>
      <c r="I9" s="275">
        <v>0</v>
      </c>
      <c r="J9" s="275">
        <v>0</v>
      </c>
      <c r="K9" s="275">
        <v>0</v>
      </c>
      <c r="L9" s="275">
        <v>0</v>
      </c>
      <c r="M9" s="275">
        <v>0</v>
      </c>
      <c r="N9" s="275">
        <v>0</v>
      </c>
      <c r="O9" s="275">
        <v>0</v>
      </c>
      <c r="P9" s="275">
        <v>0</v>
      </c>
      <c r="Q9" s="275">
        <v>0</v>
      </c>
      <c r="R9" s="275">
        <v>0</v>
      </c>
      <c r="S9" s="275">
        <v>0</v>
      </c>
      <c r="T9" s="275">
        <v>0</v>
      </c>
      <c r="U9" s="275">
        <v>0</v>
      </c>
    </row>
    <row r="10" spans="1:21">
      <c r="A10" s="71" t="s">
        <v>237</v>
      </c>
      <c r="B10" s="275">
        <v>0</v>
      </c>
      <c r="C10" s="275">
        <v>0</v>
      </c>
      <c r="D10" s="275">
        <v>0</v>
      </c>
      <c r="E10" s="275">
        <v>0</v>
      </c>
      <c r="F10" s="275">
        <v>0</v>
      </c>
      <c r="G10" s="275">
        <v>0</v>
      </c>
      <c r="H10" s="275">
        <v>0</v>
      </c>
      <c r="I10" s="275">
        <v>0</v>
      </c>
      <c r="J10" s="275">
        <v>0</v>
      </c>
      <c r="K10" s="275">
        <v>0</v>
      </c>
      <c r="L10" s="275">
        <v>0</v>
      </c>
      <c r="M10" s="275">
        <v>0</v>
      </c>
      <c r="N10" s="275">
        <v>0</v>
      </c>
      <c r="O10" s="275">
        <v>0</v>
      </c>
      <c r="P10" s="275">
        <v>0</v>
      </c>
      <c r="Q10" s="275">
        <v>0</v>
      </c>
      <c r="R10" s="275">
        <v>0</v>
      </c>
      <c r="S10" s="275">
        <v>0</v>
      </c>
      <c r="T10" s="275">
        <v>0</v>
      </c>
      <c r="U10" s="275">
        <v>0</v>
      </c>
    </row>
    <row r="11" spans="1:21">
      <c r="A11" s="71" t="s">
        <v>239</v>
      </c>
      <c r="B11" s="275">
        <v>0</v>
      </c>
      <c r="C11" s="275">
        <v>0</v>
      </c>
      <c r="D11" s="275">
        <v>0</v>
      </c>
      <c r="E11" s="275">
        <v>0</v>
      </c>
      <c r="F11" s="275">
        <v>0</v>
      </c>
      <c r="G11" s="275">
        <v>0</v>
      </c>
      <c r="H11" s="275">
        <v>0</v>
      </c>
      <c r="I11" s="275">
        <v>0</v>
      </c>
      <c r="J11" s="275">
        <v>0</v>
      </c>
      <c r="K11" s="275">
        <v>0</v>
      </c>
      <c r="L11" s="275">
        <v>0</v>
      </c>
      <c r="M11" s="275">
        <v>0</v>
      </c>
      <c r="N11" s="275">
        <v>0</v>
      </c>
      <c r="O11" s="275">
        <v>0</v>
      </c>
      <c r="P11" s="275">
        <v>0</v>
      </c>
      <c r="Q11" s="275">
        <v>0</v>
      </c>
      <c r="R11" s="275">
        <v>0</v>
      </c>
      <c r="S11" s="275">
        <v>0</v>
      </c>
      <c r="T11" s="275">
        <v>0</v>
      </c>
      <c r="U11" s="275">
        <v>0</v>
      </c>
    </row>
    <row r="12" spans="1:21">
      <c r="A12" s="71" t="s">
        <v>240</v>
      </c>
      <c r="B12" s="275">
        <v>0</v>
      </c>
      <c r="C12" s="275">
        <v>0</v>
      </c>
      <c r="D12" s="275">
        <v>0</v>
      </c>
      <c r="E12" s="275">
        <v>0</v>
      </c>
      <c r="F12" s="275">
        <v>0</v>
      </c>
      <c r="G12" s="275">
        <v>0</v>
      </c>
      <c r="H12" s="275">
        <v>0</v>
      </c>
      <c r="I12" s="275">
        <v>0</v>
      </c>
      <c r="J12" s="275">
        <v>0</v>
      </c>
      <c r="K12" s="275">
        <v>0</v>
      </c>
      <c r="L12" s="275">
        <v>0</v>
      </c>
      <c r="M12" s="275">
        <v>0</v>
      </c>
      <c r="N12" s="275">
        <v>0</v>
      </c>
      <c r="O12" s="275">
        <v>0</v>
      </c>
      <c r="P12" s="275">
        <v>0</v>
      </c>
      <c r="Q12" s="275">
        <v>0</v>
      </c>
      <c r="R12" s="275">
        <v>0</v>
      </c>
      <c r="S12" s="275">
        <v>0</v>
      </c>
      <c r="T12" s="275">
        <v>0</v>
      </c>
      <c r="U12" s="275">
        <v>0</v>
      </c>
    </row>
    <row r="13" spans="1:21">
      <c r="A13" s="71" t="s">
        <v>242</v>
      </c>
      <c r="B13" s="275">
        <v>0</v>
      </c>
      <c r="C13" s="275">
        <v>0</v>
      </c>
      <c r="D13" s="275">
        <v>0</v>
      </c>
      <c r="E13" s="275">
        <v>0</v>
      </c>
      <c r="F13" s="275">
        <v>0</v>
      </c>
      <c r="G13" s="275">
        <v>0</v>
      </c>
      <c r="H13" s="275">
        <v>0</v>
      </c>
      <c r="I13" s="275">
        <v>0</v>
      </c>
      <c r="J13" s="275">
        <v>0</v>
      </c>
      <c r="K13" s="275">
        <v>0</v>
      </c>
      <c r="L13" s="275">
        <v>0</v>
      </c>
      <c r="M13" s="275">
        <v>0</v>
      </c>
      <c r="N13" s="275">
        <v>0</v>
      </c>
      <c r="O13" s="275">
        <v>0</v>
      </c>
      <c r="P13" s="275">
        <v>0</v>
      </c>
      <c r="Q13" s="275">
        <v>0</v>
      </c>
      <c r="R13" s="275">
        <v>0</v>
      </c>
      <c r="S13" s="275">
        <v>0</v>
      </c>
      <c r="T13" s="275">
        <v>0</v>
      </c>
      <c r="U13" s="275">
        <v>0</v>
      </c>
    </row>
    <row r="14" spans="1:21">
      <c r="A14" s="71" t="s">
        <v>241</v>
      </c>
      <c r="B14" s="275">
        <v>0</v>
      </c>
      <c r="C14" s="275">
        <v>0</v>
      </c>
      <c r="D14" s="275">
        <v>0</v>
      </c>
      <c r="E14" s="275">
        <v>0</v>
      </c>
      <c r="F14" s="275">
        <v>0</v>
      </c>
      <c r="G14" s="275">
        <v>0</v>
      </c>
      <c r="H14" s="275">
        <v>0</v>
      </c>
      <c r="I14" s="275">
        <v>0</v>
      </c>
      <c r="J14" s="275">
        <v>0</v>
      </c>
      <c r="K14" s="275">
        <v>0</v>
      </c>
      <c r="L14" s="275">
        <v>0</v>
      </c>
      <c r="M14" s="275">
        <v>0</v>
      </c>
      <c r="N14" s="275">
        <v>0</v>
      </c>
      <c r="O14" s="275">
        <v>0</v>
      </c>
      <c r="P14" s="275">
        <v>0</v>
      </c>
      <c r="Q14" s="275">
        <v>0</v>
      </c>
      <c r="R14" s="275">
        <v>0</v>
      </c>
      <c r="S14" s="275">
        <v>0</v>
      </c>
      <c r="T14" s="275">
        <v>0</v>
      </c>
      <c r="U14" s="275">
        <v>0</v>
      </c>
    </row>
    <row r="16" spans="1:21" ht="38.25">
      <c r="A16" s="186" t="s">
        <v>231</v>
      </c>
      <c r="B16" s="186" t="s">
        <v>232</v>
      </c>
      <c r="C16" s="186" t="s">
        <v>233</v>
      </c>
    </row>
    <row r="17" spans="1:81">
      <c r="A17" s="71" t="s">
        <v>243</v>
      </c>
      <c r="B17" s="155">
        <f>C17</f>
        <v>95</v>
      </c>
      <c r="C17" s="155">
        <v>95</v>
      </c>
    </row>
    <row r="18" spans="1:81">
      <c r="A18" s="188" t="s">
        <v>224</v>
      </c>
      <c r="B18" s="155">
        <f t="shared" ref="B18:B21" si="0">C18</f>
        <v>95</v>
      </c>
      <c r="C18" s="155">
        <v>95</v>
      </c>
    </row>
    <row r="19" spans="1:81">
      <c r="A19" s="71" t="s">
        <v>244</v>
      </c>
      <c r="B19" s="155">
        <f t="shared" si="0"/>
        <v>95</v>
      </c>
      <c r="C19" s="155">
        <v>95</v>
      </c>
    </row>
    <row r="20" spans="1:81">
      <c r="A20" s="56" t="s">
        <v>245</v>
      </c>
      <c r="B20" s="155">
        <f t="shared" si="0"/>
        <v>95</v>
      </c>
      <c r="C20" s="59">
        <v>95</v>
      </c>
    </row>
    <row r="21" spans="1:81">
      <c r="A21" s="56" t="s">
        <v>246</v>
      </c>
      <c r="B21" s="155">
        <f t="shared" si="0"/>
        <v>95</v>
      </c>
      <c r="C21" s="59">
        <v>95</v>
      </c>
    </row>
    <row r="22" spans="1:81">
      <c r="A22" s="78"/>
      <c r="B22" s="189"/>
      <c r="C22" s="79"/>
    </row>
    <row r="23" spans="1:81" ht="13.5" thickBot="1">
      <c r="A23" s="78"/>
      <c r="B23" s="189"/>
      <c r="C23" s="79"/>
    </row>
    <row r="24" spans="1:81">
      <c r="A24" s="78"/>
      <c r="B24" s="302" t="s">
        <v>204</v>
      </c>
      <c r="C24" s="303"/>
      <c r="D24" s="303"/>
      <c r="E24" s="304"/>
      <c r="F24" s="302" t="s">
        <v>205</v>
      </c>
      <c r="G24" s="303"/>
      <c r="H24" s="303"/>
      <c r="I24" s="304"/>
      <c r="J24" s="302" t="s">
        <v>206</v>
      </c>
      <c r="K24" s="303"/>
      <c r="L24" s="303"/>
      <c r="M24" s="304"/>
      <c r="N24" s="302" t="s">
        <v>207</v>
      </c>
      <c r="O24" s="303"/>
      <c r="P24" s="303"/>
      <c r="Q24" s="304"/>
      <c r="R24" s="302" t="s">
        <v>208</v>
      </c>
      <c r="S24" s="303"/>
      <c r="T24" s="303"/>
      <c r="U24" s="304"/>
      <c r="V24" s="302" t="s">
        <v>209</v>
      </c>
      <c r="W24" s="303"/>
      <c r="X24" s="303"/>
      <c r="Y24" s="304"/>
      <c r="Z24" s="302" t="s">
        <v>210</v>
      </c>
      <c r="AA24" s="303"/>
      <c r="AB24" s="303"/>
      <c r="AC24" s="304"/>
      <c r="AD24" s="302" t="s">
        <v>211</v>
      </c>
      <c r="AE24" s="303"/>
      <c r="AF24" s="303"/>
      <c r="AG24" s="304"/>
      <c r="AH24" s="302" t="s">
        <v>212</v>
      </c>
      <c r="AI24" s="303"/>
      <c r="AJ24" s="303"/>
      <c r="AK24" s="304"/>
      <c r="AL24" s="302" t="s">
        <v>213</v>
      </c>
      <c r="AM24" s="303"/>
      <c r="AN24" s="303"/>
      <c r="AO24" s="304"/>
      <c r="AP24" s="302" t="s">
        <v>214</v>
      </c>
      <c r="AQ24" s="303"/>
      <c r="AR24" s="303"/>
      <c r="AS24" s="304"/>
      <c r="AT24" s="302" t="s">
        <v>215</v>
      </c>
      <c r="AU24" s="303"/>
      <c r="AV24" s="303"/>
      <c r="AW24" s="304"/>
      <c r="AX24" s="302" t="s">
        <v>216</v>
      </c>
      <c r="AY24" s="303"/>
      <c r="AZ24" s="303"/>
      <c r="BA24" s="304"/>
      <c r="BB24" s="302" t="s">
        <v>217</v>
      </c>
      <c r="BC24" s="303"/>
      <c r="BD24" s="303"/>
      <c r="BE24" s="304"/>
      <c r="BF24" s="302" t="s">
        <v>218</v>
      </c>
      <c r="BG24" s="303"/>
      <c r="BH24" s="303"/>
      <c r="BI24" s="304"/>
      <c r="BJ24" s="302" t="s">
        <v>219</v>
      </c>
      <c r="BK24" s="303"/>
      <c r="BL24" s="303"/>
      <c r="BM24" s="304"/>
      <c r="BN24" s="302" t="s">
        <v>220</v>
      </c>
      <c r="BO24" s="303"/>
      <c r="BP24" s="303"/>
      <c r="BQ24" s="304"/>
      <c r="BR24" s="302" t="s">
        <v>221</v>
      </c>
      <c r="BS24" s="303"/>
      <c r="BT24" s="303"/>
      <c r="BU24" s="304"/>
      <c r="BV24" s="302" t="s">
        <v>222</v>
      </c>
      <c r="BW24" s="303"/>
      <c r="BX24" s="303"/>
      <c r="BY24" s="304"/>
      <c r="BZ24" s="302" t="s">
        <v>223</v>
      </c>
      <c r="CA24" s="303"/>
      <c r="CB24" s="303"/>
      <c r="CC24" s="304"/>
    </row>
    <row r="25" spans="1:81" ht="14.25">
      <c r="A25" s="176" t="s">
        <v>124</v>
      </c>
      <c r="B25" s="182">
        <v>1</v>
      </c>
      <c r="C25" s="59" t="s">
        <v>19</v>
      </c>
      <c r="D25" s="190"/>
      <c r="E25" s="191"/>
      <c r="F25" s="182">
        <v>0</v>
      </c>
      <c r="G25" s="59" t="s">
        <v>19</v>
      </c>
      <c r="H25" s="190"/>
      <c r="I25" s="191"/>
      <c r="J25" s="182">
        <v>0</v>
      </c>
      <c r="K25" s="59" t="s">
        <v>19</v>
      </c>
      <c r="L25" s="190"/>
      <c r="M25" s="191"/>
      <c r="N25" s="182">
        <v>0</v>
      </c>
      <c r="O25" s="59" t="s">
        <v>19</v>
      </c>
      <c r="P25" s="190"/>
      <c r="Q25" s="191"/>
      <c r="R25" s="182">
        <v>0</v>
      </c>
      <c r="S25" s="59" t="s">
        <v>19</v>
      </c>
      <c r="T25" s="190"/>
      <c r="U25" s="191"/>
      <c r="V25" s="182">
        <v>0</v>
      </c>
      <c r="W25" s="59" t="s">
        <v>19</v>
      </c>
      <c r="X25" s="190"/>
      <c r="Y25" s="191"/>
      <c r="Z25" s="182">
        <v>0</v>
      </c>
      <c r="AA25" s="59" t="s">
        <v>19</v>
      </c>
      <c r="AB25" s="190"/>
      <c r="AC25" s="191"/>
      <c r="AD25" s="182">
        <v>0</v>
      </c>
      <c r="AE25" s="59" t="s">
        <v>19</v>
      </c>
      <c r="AF25" s="190"/>
      <c r="AG25" s="191"/>
      <c r="AH25" s="182">
        <v>0</v>
      </c>
      <c r="AI25" s="59" t="s">
        <v>19</v>
      </c>
      <c r="AJ25" s="190"/>
      <c r="AK25" s="191"/>
      <c r="AL25" s="182">
        <v>0</v>
      </c>
      <c r="AM25" s="59" t="s">
        <v>19</v>
      </c>
      <c r="AN25" s="190"/>
      <c r="AO25" s="191"/>
      <c r="AP25" s="182">
        <v>0</v>
      </c>
      <c r="AQ25" s="59" t="s">
        <v>19</v>
      </c>
      <c r="AR25" s="190"/>
      <c r="AS25" s="191"/>
      <c r="AT25" s="182">
        <v>0</v>
      </c>
      <c r="AU25" s="59" t="s">
        <v>19</v>
      </c>
      <c r="AV25" s="190"/>
      <c r="AW25" s="191"/>
      <c r="AX25" s="182">
        <v>0</v>
      </c>
      <c r="AY25" s="59" t="s">
        <v>19</v>
      </c>
      <c r="AZ25" s="190"/>
      <c r="BA25" s="191"/>
      <c r="BB25" s="182">
        <v>0</v>
      </c>
      <c r="BC25" s="59" t="s">
        <v>19</v>
      </c>
      <c r="BD25" s="190"/>
      <c r="BE25" s="191"/>
      <c r="BF25" s="182">
        <v>0</v>
      </c>
      <c r="BG25" s="59" t="s">
        <v>19</v>
      </c>
      <c r="BH25" s="190"/>
      <c r="BI25" s="191"/>
      <c r="BJ25" s="182">
        <v>0</v>
      </c>
      <c r="BK25" s="59" t="s">
        <v>19</v>
      </c>
      <c r="BL25" s="190"/>
      <c r="BM25" s="191"/>
      <c r="BN25" s="182">
        <v>0</v>
      </c>
      <c r="BO25" s="59" t="s">
        <v>19</v>
      </c>
      <c r="BP25" s="190"/>
      <c r="BQ25" s="191"/>
      <c r="BR25" s="182">
        <v>0</v>
      </c>
      <c r="BS25" s="59" t="s">
        <v>19</v>
      </c>
      <c r="BT25" s="190"/>
      <c r="BU25" s="191"/>
      <c r="BV25" s="182">
        <v>0</v>
      </c>
      <c r="BW25" s="59" t="s">
        <v>19</v>
      </c>
      <c r="BX25" s="190"/>
      <c r="BY25" s="191"/>
      <c r="BZ25" s="182">
        <v>0</v>
      </c>
      <c r="CA25" s="59" t="s">
        <v>19</v>
      </c>
      <c r="CB25" s="190"/>
      <c r="CC25" s="191"/>
    </row>
    <row r="26" spans="1:81" ht="28.5" customHeight="1">
      <c r="A26" s="192" t="s">
        <v>62</v>
      </c>
      <c r="B26" s="193" t="s">
        <v>201</v>
      </c>
      <c r="C26" s="156" t="s">
        <v>202</v>
      </c>
      <c r="D26" s="187" t="s">
        <v>161</v>
      </c>
      <c r="E26" s="194" t="s">
        <v>202</v>
      </c>
      <c r="F26" s="193" t="s">
        <v>201</v>
      </c>
      <c r="G26" s="156" t="s">
        <v>202</v>
      </c>
      <c r="H26" s="187" t="s">
        <v>161</v>
      </c>
      <c r="I26" s="194" t="s">
        <v>202</v>
      </c>
      <c r="J26" s="193" t="s">
        <v>201</v>
      </c>
      <c r="K26" s="156" t="s">
        <v>202</v>
      </c>
      <c r="L26" s="187" t="s">
        <v>161</v>
      </c>
      <c r="M26" s="194" t="s">
        <v>202</v>
      </c>
      <c r="N26" s="193" t="s">
        <v>201</v>
      </c>
      <c r="O26" s="156" t="s">
        <v>202</v>
      </c>
      <c r="P26" s="187" t="s">
        <v>161</v>
      </c>
      <c r="Q26" s="194" t="s">
        <v>202</v>
      </c>
      <c r="R26" s="193" t="s">
        <v>201</v>
      </c>
      <c r="S26" s="156" t="s">
        <v>202</v>
      </c>
      <c r="T26" s="187" t="s">
        <v>161</v>
      </c>
      <c r="U26" s="194" t="s">
        <v>202</v>
      </c>
      <c r="V26" s="193" t="s">
        <v>201</v>
      </c>
      <c r="W26" s="156" t="s">
        <v>202</v>
      </c>
      <c r="X26" s="187" t="s">
        <v>161</v>
      </c>
      <c r="Y26" s="194" t="s">
        <v>202</v>
      </c>
      <c r="Z26" s="193" t="s">
        <v>201</v>
      </c>
      <c r="AA26" s="156" t="s">
        <v>202</v>
      </c>
      <c r="AB26" s="187" t="s">
        <v>161</v>
      </c>
      <c r="AC26" s="194" t="s">
        <v>202</v>
      </c>
      <c r="AD26" s="193" t="s">
        <v>201</v>
      </c>
      <c r="AE26" s="156" t="s">
        <v>202</v>
      </c>
      <c r="AF26" s="187" t="s">
        <v>161</v>
      </c>
      <c r="AG26" s="194" t="s">
        <v>202</v>
      </c>
      <c r="AH26" s="193" t="s">
        <v>201</v>
      </c>
      <c r="AI26" s="156" t="s">
        <v>202</v>
      </c>
      <c r="AJ26" s="187" t="s">
        <v>161</v>
      </c>
      <c r="AK26" s="194" t="s">
        <v>202</v>
      </c>
      <c r="AL26" s="193" t="s">
        <v>201</v>
      </c>
      <c r="AM26" s="156" t="s">
        <v>202</v>
      </c>
      <c r="AN26" s="187" t="s">
        <v>161</v>
      </c>
      <c r="AO26" s="194" t="s">
        <v>202</v>
      </c>
      <c r="AP26" s="193" t="s">
        <v>201</v>
      </c>
      <c r="AQ26" s="156" t="s">
        <v>202</v>
      </c>
      <c r="AR26" s="187" t="s">
        <v>161</v>
      </c>
      <c r="AS26" s="194" t="s">
        <v>202</v>
      </c>
      <c r="AT26" s="193" t="s">
        <v>201</v>
      </c>
      <c r="AU26" s="156" t="s">
        <v>202</v>
      </c>
      <c r="AV26" s="187" t="s">
        <v>161</v>
      </c>
      <c r="AW26" s="194" t="s">
        <v>202</v>
      </c>
      <c r="AX26" s="193" t="s">
        <v>201</v>
      </c>
      <c r="AY26" s="156" t="s">
        <v>202</v>
      </c>
      <c r="AZ26" s="187" t="s">
        <v>161</v>
      </c>
      <c r="BA26" s="194" t="s">
        <v>202</v>
      </c>
      <c r="BB26" s="193" t="s">
        <v>201</v>
      </c>
      <c r="BC26" s="156" t="s">
        <v>202</v>
      </c>
      <c r="BD26" s="187" t="s">
        <v>161</v>
      </c>
      <c r="BE26" s="194" t="s">
        <v>202</v>
      </c>
      <c r="BF26" s="193" t="s">
        <v>201</v>
      </c>
      <c r="BG26" s="156" t="s">
        <v>202</v>
      </c>
      <c r="BH26" s="187" t="s">
        <v>161</v>
      </c>
      <c r="BI26" s="194" t="s">
        <v>202</v>
      </c>
      <c r="BJ26" s="193" t="s">
        <v>201</v>
      </c>
      <c r="BK26" s="156" t="s">
        <v>202</v>
      </c>
      <c r="BL26" s="187" t="s">
        <v>161</v>
      </c>
      <c r="BM26" s="194" t="s">
        <v>202</v>
      </c>
      <c r="BN26" s="193" t="s">
        <v>201</v>
      </c>
      <c r="BO26" s="156" t="s">
        <v>202</v>
      </c>
      <c r="BP26" s="187" t="s">
        <v>161</v>
      </c>
      <c r="BQ26" s="194" t="s">
        <v>202</v>
      </c>
      <c r="BR26" s="193" t="s">
        <v>201</v>
      </c>
      <c r="BS26" s="156" t="s">
        <v>202</v>
      </c>
      <c r="BT26" s="187" t="s">
        <v>161</v>
      </c>
      <c r="BU26" s="194" t="s">
        <v>202</v>
      </c>
      <c r="BV26" s="193" t="s">
        <v>201</v>
      </c>
      <c r="BW26" s="156" t="s">
        <v>202</v>
      </c>
      <c r="BX26" s="187" t="s">
        <v>161</v>
      </c>
      <c r="BY26" s="194" t="s">
        <v>202</v>
      </c>
      <c r="BZ26" s="193" t="s">
        <v>201</v>
      </c>
      <c r="CA26" s="156" t="s">
        <v>202</v>
      </c>
      <c r="CB26" s="187" t="s">
        <v>161</v>
      </c>
      <c r="CC26" s="194" t="s">
        <v>202</v>
      </c>
    </row>
    <row r="27" spans="1:81" ht="14.25">
      <c r="A27" s="177" t="s">
        <v>17</v>
      </c>
      <c r="B27" s="183">
        <v>1</v>
      </c>
      <c r="C27" s="59" t="s">
        <v>18</v>
      </c>
      <c r="D27" s="270">
        <f t="shared" ref="D27:D52" si="1">(1-(((1-B93)^($B$4))*((1-C93)^(IF($B$5&gt;0,1,0)))*((1-D93)^($B$6/15.2))*((1-E93)^($B$7))*((1-F93)^(IF($B$8&gt;0,1,0)))*((1-G93)^($B$9))*((1-H93)^(IF($B$10&gt;0,1,0)))*((1-I93)^($B$11))*((1-J93)^($B$12))*((1-K93)^($B$13))*((1-L93)^($B$14))))*($B$25*B27)</f>
        <v>0</v>
      </c>
      <c r="E27" s="196" t="s">
        <v>23</v>
      </c>
      <c r="F27" s="183">
        <v>0</v>
      </c>
      <c r="G27" s="59" t="s">
        <v>18</v>
      </c>
      <c r="H27" s="195">
        <f t="shared" ref="H27:H52" si="2">(1-(((1-B93)^($C$4))*((1-C93)^(IF($C$5&gt;0,1,0)))*((1-D93)^($C$6/15.2))*((1-E93)^($C$7))*((1-F93)^(IF($C$8&gt;0,1,0)))*((1-G93)^($C$9))*((1-H93)^(IF($C$10&gt;0,1,0)))*((1-I93)^($C$11))*((1-J93)^($C$12))*((1-K93)^($C$13))*((1-L93)^($C$14))))*($F$25*F27)</f>
        <v>0</v>
      </c>
      <c r="I27" s="196" t="s">
        <v>23</v>
      </c>
      <c r="J27" s="183">
        <v>0</v>
      </c>
      <c r="K27" s="59" t="s">
        <v>18</v>
      </c>
      <c r="L27" s="195">
        <f t="shared" ref="L27:L52" si="3">(1-(((1-B93)^($D$4))*((1-C93)^(IF($D$5&gt;0,1,0)))*((1-D93)^($D$6/15.2))*((1-E93)^($D$7))*((1-F93)^(IF($D$8&gt;0,1,0)))*((1-G93)^($D$9))*((1-H93)^(IF($D$10&gt;0,1,0)))*((1-I93)^($D$11))*((1-J93)^($D$12))*((1-K93)^($D$13))*((1-L93)^($D$14))))*($J$25*J27)</f>
        <v>0</v>
      </c>
      <c r="M27" s="196" t="s">
        <v>23</v>
      </c>
      <c r="N27" s="183">
        <v>0</v>
      </c>
      <c r="O27" s="59" t="s">
        <v>18</v>
      </c>
      <c r="P27" s="195">
        <f t="shared" ref="P27:P52" si="4">(1-(((1-B93)^($E$4))*((1-C93)^(IF($E$5&gt;0,1,0)))*((1-D93)^($E$6/15.2))*((1-E93)^($E$7))*((1-F93)^(IF($E$8&gt;0,1,0)))*((1-G93)^($E$9))*((1-H93)^(IF($E$10&gt;0,1,0)))*((1-I93)^($E$11))*((1-J93)^($E$12))*((1-K93)^($E$13))*((1-L93)^($E$14))))*($N$25*N27)</f>
        <v>0</v>
      </c>
      <c r="Q27" s="196" t="s">
        <v>23</v>
      </c>
      <c r="R27" s="183">
        <v>0</v>
      </c>
      <c r="S27" s="59" t="s">
        <v>18</v>
      </c>
      <c r="T27" s="195">
        <f t="shared" ref="T27:T52" si="5">(1-(((1-B93)^($F$4))*((1-C93)^(IF($F$5&gt;0,1,0)))*((1-D93)^($F$6/15.2))*((1-E93)^($F$7))*((1-F93)^(IF($F$8&gt;0,1,0)))*((1-G93)^($F$9))*((1-H93)^(IF($F$10&gt;0,1,0)))*((1-I93)^($F$11))*((1-J93)^($F$12))*((1-K93)^($F$13))*((1-L93)^($F$14))))*($R$25*R27)</f>
        <v>0</v>
      </c>
      <c r="U27" s="196" t="s">
        <v>23</v>
      </c>
      <c r="V27" s="183">
        <v>0</v>
      </c>
      <c r="W27" s="59" t="s">
        <v>18</v>
      </c>
      <c r="X27" s="195">
        <f t="shared" ref="X27:X52" si="6">(1-(((1-B93)^($G$4))*((1-C93)^(IF($G$5&gt;0,1,0)))*((1-D93)^($G$6/15.2))*((1-E93)^($G$7))*((1-F93)^(IF($G$8&gt;0,1,0)))*((1-G93)^($G$9))*((1-H93)^(IF($G$10&gt;0,1,0)))*((1-I93)^($G$11))*((1-J93)^($G$12))*((1-K93)^($G$13))*((1-L93)^($G$14))))*($V$25*V27)</f>
        <v>0</v>
      </c>
      <c r="Y27" s="196" t="s">
        <v>23</v>
      </c>
      <c r="Z27" s="183">
        <v>0</v>
      </c>
      <c r="AA27" s="59" t="s">
        <v>18</v>
      </c>
      <c r="AB27" s="195">
        <f t="shared" ref="AB27:AB52" si="7">(1-(((1-B93)^($H$4))*((1-C93)^(IF($H$5&gt;0,1,0)))*((1-D93)^($H$6/15.2))*((1-E93)^($H$7))*((1-F93)^(IF($H$8&gt;0,1,0)))*((1-G93)^($H$9))*((1-H93)^(IF($H$10&gt;0,1,0)))*((1-I93)^($H$11))*((1-J93)^($H$12))*((1-K93)^($H$13))*((1-L93)^($H$14))))*($Z$25*Z27)</f>
        <v>0</v>
      </c>
      <c r="AC27" s="196" t="s">
        <v>23</v>
      </c>
      <c r="AD27" s="183">
        <v>0</v>
      </c>
      <c r="AE27" s="59" t="s">
        <v>18</v>
      </c>
      <c r="AF27" s="195">
        <f t="shared" ref="AF27:AF52" si="8">(1-(((1-B93)^($I$4))*((1-C93)^(IF($I$5&gt;0,1,0)))*((1-D93)^($I$6/15.2))*((1-E93)^($I$7))*((1-F93)^(IF($I$8&gt;0,1,0)))*((1-G93)^($I$9))*((1-H93)^(IF($I$10&gt;0,1,0)))*((1-I93)^($I$11))*((1-J93)^($I$12))*((1-K93)^($I$13))*((1-L93)^($I$14))))*($AD$25*AD27)</f>
        <v>0</v>
      </c>
      <c r="AG27" s="196" t="s">
        <v>23</v>
      </c>
      <c r="AH27" s="183">
        <v>0</v>
      </c>
      <c r="AI27" s="59" t="s">
        <v>18</v>
      </c>
      <c r="AJ27" s="195">
        <f t="shared" ref="AJ27:AJ52" si="9">(1-(((1-B93)^($J$4))*((1-C93)^(IF($J$5&gt;0,1,0)))*((1-D93)^($J$6/15.2))*((1-E93)^($J$7))*((1-F93)^(IF($J$8&gt;0,1,0)))*((1-G93)^($J$9))*((1-H93)^(IF($J$10&gt;0,1,0)))*((1-I93)^($J$11))*((1-J93)^($J$12))*((1-K93)^($J$13))*((1-L93)^($J$14))))*($AH$25*AH27)</f>
        <v>0</v>
      </c>
      <c r="AK27" s="196" t="s">
        <v>23</v>
      </c>
      <c r="AL27" s="183">
        <v>0</v>
      </c>
      <c r="AM27" s="59" t="s">
        <v>18</v>
      </c>
      <c r="AN27" s="195">
        <f t="shared" ref="AN27:AN52" si="10">(1-(((1-B93)^($K$4))*((1-C93)^(IF($K$5&gt;0,1,0)))*((1-D93)^($K$6/15.2))*((1-E93)^($K$7))*((1-F93)^(IF($K$8&gt;0,1,0)))*((1-G93)^($K$9))*((1-H93)^(IF($K$10&gt;0,1,0)))*((1-I93)^($K$11))*((1-J93)^($K$12))*((1-K93)^($K$13))*((1-L93)^($K$14))))*($AL$25*AL27)</f>
        <v>0</v>
      </c>
      <c r="AO27" s="196" t="s">
        <v>23</v>
      </c>
      <c r="AP27" s="183">
        <v>0</v>
      </c>
      <c r="AQ27" s="59" t="s">
        <v>18</v>
      </c>
      <c r="AR27" s="195">
        <f t="shared" ref="AR27:AR52" si="11">(1-(((1-B93)^($L$4))*((1-C93)^(IF($L$5&gt;0,1,0)))*((1-D93)^($L$6/15.2))*((1-E93)^($L$7))*((1-F93)^(IF($L$8&gt;0,1,0)))*((1-G93)^($L$9))*((1-H93)^(IF($L$10&gt;0,1,0)))*((1-I93)^($L$11))*((1-J93)^($L$12))*((1-K93)^($L$13))*((1-L93)^($L$14))))*($AP$25*AP27)</f>
        <v>0</v>
      </c>
      <c r="AS27" s="196" t="s">
        <v>23</v>
      </c>
      <c r="AT27" s="183">
        <v>0</v>
      </c>
      <c r="AU27" s="59" t="s">
        <v>18</v>
      </c>
      <c r="AV27" s="195">
        <f t="shared" ref="AV27:AV52" si="12">(1-(((1-B93)^($M$4))*((1-C93)^(IF($M$5&gt;0,1,0)))*((1-D93)^($M$6/15.2))*((1-E93)^($M$7))*((1-F93)^(IF($M$8&gt;0,1,0)))*((1-G93)^($M$9))*((1-H93)^(IF($M$10&gt;0,1,0)))*((1-I93)^($M$11))*((1-J93)^($M$12))*((1-K93)^($M$13))*((1-L93)^($M$14))))*($AT$25*AT27)</f>
        <v>0</v>
      </c>
      <c r="AW27" s="196" t="s">
        <v>23</v>
      </c>
      <c r="AX27" s="183">
        <v>0</v>
      </c>
      <c r="AY27" s="59" t="s">
        <v>18</v>
      </c>
      <c r="AZ27" s="195">
        <f t="shared" ref="AZ27:AZ52" si="13">(1-(((1-B93)^($N$4))*((1-C93)^(IF($N$5&gt;0,1,0)))*((1-D93)^($N$6/15.2))*((1-E93)^($N$7))*((1-F93)^(IF($N$8&gt;0,1,0)))*((1-G93)^($N$9))*((1-H93)^(IF($N$10&gt;0,1,0)))*((1-I93)^($N$11))*((1-J93)^($N$12))*((1-K93)^($N$13))*((1-L93)^($N$14))))*($AX$25*AX27)</f>
        <v>0</v>
      </c>
      <c r="BA27" s="196" t="s">
        <v>23</v>
      </c>
      <c r="BB27" s="183">
        <v>0</v>
      </c>
      <c r="BC27" s="59" t="s">
        <v>18</v>
      </c>
      <c r="BD27" s="195">
        <f t="shared" ref="BD27:BD52" si="14">(1-(((1-B93)^($O$4))*((1-C93)^(IF($O$5&gt;0,1,0)))*((1-D93)^($O$6/15.2))*((1-E93)^($O$7))*((1-F93)^(IF($O$8&gt;0,1,0)))*((1-G93)^($O$9))*((1-H93)^(IF($O$10&gt;0,1,0)))*((1-I93)^($O$11))*((1-J93)^($O$12))*((1-K93)^($O$13))*((1-L93)^($O$14))))*($BB$25*BB27)</f>
        <v>0</v>
      </c>
      <c r="BE27" s="196" t="s">
        <v>23</v>
      </c>
      <c r="BF27" s="183">
        <v>0</v>
      </c>
      <c r="BG27" s="59" t="s">
        <v>18</v>
      </c>
      <c r="BH27" s="195">
        <f t="shared" ref="BH27:BH52" si="15">(1-(((1-B93)^($P$4))*((1-C93)^(IF($P$5&gt;0,1,0)))*((1-D93)^($P$6/15.2))*((1-E93)^($P$7))*((1-F93)^(IF($P$8&gt;0,1,0)))*((1-G93)^($P$9))*((1-H93)^(IF($P$10&gt;0,1,0)))*((1-I93)^($P$11))*((1-J93)^($P$12))*((1-K93)^($P$13))*((1-L93)^($P$14))))*($BF$25*BF27)</f>
        <v>0</v>
      </c>
      <c r="BI27" s="196" t="s">
        <v>23</v>
      </c>
      <c r="BJ27" s="183">
        <v>0</v>
      </c>
      <c r="BK27" s="59" t="s">
        <v>18</v>
      </c>
      <c r="BL27" s="195">
        <f t="shared" ref="BL27:BL52" si="16">(1-(((1-B93)^($Q$4))*((1-C93)^(IF($Q$5&gt;0,1,0)))*((1-D93)^($Q$6/15.2))*((1-E93)^($Q$7))*((1-F93)^(IF($Q$8&gt;0,1,0)))*((1-G93)^($Q$9))*((1-H93)^(IF($Q$10&gt;0,1,0)))*((1-I93)^($Q$11))*((1-J93)^($Q$12))*((1-K93)^($Q$13))*((1-L93)^($Q$14))))*($BJ$25*BJ27)</f>
        <v>0</v>
      </c>
      <c r="BM27" s="196" t="s">
        <v>23</v>
      </c>
      <c r="BN27" s="183">
        <v>0</v>
      </c>
      <c r="BO27" s="59" t="s">
        <v>18</v>
      </c>
      <c r="BP27" s="195">
        <f t="shared" ref="BP27:BP52" si="17">(1-(((1-B93)^($R$4))*((1-C93)^(IF($R$5&gt;0,1,0)))*((1-D93)^($R$6/15.2))*((1-E93)^($R$7))*((1-F93)^(IF($R$8&gt;0,1,0)))*((1-G93)^($R$9))*((1-H93)^(IF($R$10&gt;0,1,0)))*((1-I93)^($R$11))*((1-J93)^($R$12))*((1-K93)^($R$13))*((1-L93)^($R$14))))*($BN$25*BN27)</f>
        <v>0</v>
      </c>
      <c r="BQ27" s="196" t="s">
        <v>23</v>
      </c>
      <c r="BR27" s="183">
        <v>0</v>
      </c>
      <c r="BS27" s="59" t="s">
        <v>18</v>
      </c>
      <c r="BT27" s="195">
        <f t="shared" ref="BT27:BT52" si="18">(1-(((1-B93)^($S$4))*((1-C93)^(IF($S$5&gt;0,1,0)))*((1-D93)^($S$6/15.2))*((1-E93)^($S$7))*((1-F93)^(IF($S$8&gt;0,1,0)))*((1-G93)^($S$9))*((1-H93)^(IF($S$10&gt;0,1,0)))*((1-I93)^($S$11))*((1-J93)^($S$12))*((1-K93)^($S$13))*((1-L93)^($S$14))))*($BR$25*BR27)</f>
        <v>0</v>
      </c>
      <c r="BU27" s="196" t="s">
        <v>23</v>
      </c>
      <c r="BV27" s="183">
        <v>0</v>
      </c>
      <c r="BW27" s="59" t="s">
        <v>18</v>
      </c>
      <c r="BX27" s="195">
        <f t="shared" ref="BX27:BX52" si="19">(1-(((1-B93)^($T$4))*((1-C93)^(IF($T$5&gt;0,1,0)))*((1-D93)^($T$6/15.2))*((1-E93)^($T$7))*((1-F93)^(IF($T$8&gt;0,1,0)))*((1-G93)^($T$9))*((1-H93)^(IF($T$10&gt;0,1,0)))*((1-I93)^($T$11))*((1-J93)^($T$12))*((1-K93)^($T$13))*((1-L93)^($T$14))))*($BV$25*BV27)</f>
        <v>0</v>
      </c>
      <c r="BY27" s="196" t="s">
        <v>23</v>
      </c>
      <c r="BZ27" s="183">
        <v>0</v>
      </c>
      <c r="CA27" s="59" t="s">
        <v>18</v>
      </c>
      <c r="CB27" s="195">
        <f t="shared" ref="CB27:CB52" si="20">(1-(((1-B93)^($U$4))*((1-C93)^(IF($U$5&gt;0,1,0)))*((1-D93)^($U$6/15.2))*((1-E93)^($U$7))*((1-F93)^(IF($U$8&gt;0,1,0)))*((1-G93)^($U$9))*((1-H93)^(IF($U$10&gt;0,1,0)))*((1-I93)^($U$11))*((1-J93)^($U$12))*((1-K93)^($U$13))*((1-L93)^($U$14))))*($BZ$25*BZ27)</f>
        <v>0</v>
      </c>
      <c r="CC27" s="196" t="s">
        <v>23</v>
      </c>
    </row>
    <row r="28" spans="1:81" ht="14.25">
      <c r="A28" s="178" t="s">
        <v>6</v>
      </c>
      <c r="B28" s="183">
        <v>1</v>
      </c>
      <c r="C28" s="59" t="s">
        <v>18</v>
      </c>
      <c r="D28" s="270">
        <f t="shared" si="1"/>
        <v>0</v>
      </c>
      <c r="E28" s="196" t="s">
        <v>23</v>
      </c>
      <c r="F28" s="183">
        <v>0</v>
      </c>
      <c r="G28" s="59" t="s">
        <v>18</v>
      </c>
      <c r="H28" s="195">
        <f t="shared" si="2"/>
        <v>0</v>
      </c>
      <c r="I28" s="196" t="s">
        <v>23</v>
      </c>
      <c r="J28" s="183">
        <v>0</v>
      </c>
      <c r="K28" s="59" t="s">
        <v>18</v>
      </c>
      <c r="L28" s="195">
        <f t="shared" si="3"/>
        <v>0</v>
      </c>
      <c r="M28" s="196" t="s">
        <v>23</v>
      </c>
      <c r="N28" s="183">
        <v>0</v>
      </c>
      <c r="O28" s="59" t="s">
        <v>18</v>
      </c>
      <c r="P28" s="195">
        <f t="shared" si="4"/>
        <v>0</v>
      </c>
      <c r="Q28" s="196" t="s">
        <v>23</v>
      </c>
      <c r="R28" s="183">
        <v>0</v>
      </c>
      <c r="S28" s="59" t="s">
        <v>18</v>
      </c>
      <c r="T28" s="195">
        <f t="shared" si="5"/>
        <v>0</v>
      </c>
      <c r="U28" s="196" t="s">
        <v>23</v>
      </c>
      <c r="V28" s="183">
        <v>0</v>
      </c>
      <c r="W28" s="59" t="s">
        <v>18</v>
      </c>
      <c r="X28" s="195">
        <f t="shared" si="6"/>
        <v>0</v>
      </c>
      <c r="Y28" s="196" t="s">
        <v>23</v>
      </c>
      <c r="Z28" s="183">
        <v>0</v>
      </c>
      <c r="AA28" s="59" t="s">
        <v>18</v>
      </c>
      <c r="AB28" s="195">
        <f t="shared" si="7"/>
        <v>0</v>
      </c>
      <c r="AC28" s="196" t="s">
        <v>23</v>
      </c>
      <c r="AD28" s="183">
        <v>0</v>
      </c>
      <c r="AE28" s="59" t="s">
        <v>18</v>
      </c>
      <c r="AF28" s="195">
        <f t="shared" si="8"/>
        <v>0</v>
      </c>
      <c r="AG28" s="196" t="s">
        <v>23</v>
      </c>
      <c r="AH28" s="183">
        <v>0</v>
      </c>
      <c r="AI28" s="59" t="s">
        <v>18</v>
      </c>
      <c r="AJ28" s="195">
        <f t="shared" si="9"/>
        <v>0</v>
      </c>
      <c r="AK28" s="196" t="s">
        <v>23</v>
      </c>
      <c r="AL28" s="183">
        <v>0</v>
      </c>
      <c r="AM28" s="59" t="s">
        <v>18</v>
      </c>
      <c r="AN28" s="195">
        <f t="shared" si="10"/>
        <v>0</v>
      </c>
      <c r="AO28" s="196" t="s">
        <v>23</v>
      </c>
      <c r="AP28" s="183">
        <v>0</v>
      </c>
      <c r="AQ28" s="59" t="s">
        <v>18</v>
      </c>
      <c r="AR28" s="195">
        <f t="shared" si="11"/>
        <v>0</v>
      </c>
      <c r="AS28" s="196" t="s">
        <v>23</v>
      </c>
      <c r="AT28" s="183">
        <v>0</v>
      </c>
      <c r="AU28" s="59" t="s">
        <v>18</v>
      </c>
      <c r="AV28" s="195">
        <f t="shared" si="12"/>
        <v>0</v>
      </c>
      <c r="AW28" s="196" t="s">
        <v>23</v>
      </c>
      <c r="AX28" s="183">
        <v>0</v>
      </c>
      <c r="AY28" s="59" t="s">
        <v>18</v>
      </c>
      <c r="AZ28" s="195">
        <f t="shared" si="13"/>
        <v>0</v>
      </c>
      <c r="BA28" s="196" t="s">
        <v>23</v>
      </c>
      <c r="BB28" s="183">
        <v>0</v>
      </c>
      <c r="BC28" s="59" t="s">
        <v>18</v>
      </c>
      <c r="BD28" s="195">
        <f t="shared" si="14"/>
        <v>0</v>
      </c>
      <c r="BE28" s="196" t="s">
        <v>23</v>
      </c>
      <c r="BF28" s="183">
        <v>0</v>
      </c>
      <c r="BG28" s="59" t="s">
        <v>18</v>
      </c>
      <c r="BH28" s="195">
        <f t="shared" si="15"/>
        <v>0</v>
      </c>
      <c r="BI28" s="196" t="s">
        <v>23</v>
      </c>
      <c r="BJ28" s="183">
        <v>0</v>
      </c>
      <c r="BK28" s="59" t="s">
        <v>18</v>
      </c>
      <c r="BL28" s="195">
        <f t="shared" si="16"/>
        <v>0</v>
      </c>
      <c r="BM28" s="196" t="s">
        <v>23</v>
      </c>
      <c r="BN28" s="183">
        <v>0</v>
      </c>
      <c r="BO28" s="59" t="s">
        <v>18</v>
      </c>
      <c r="BP28" s="195">
        <f t="shared" si="17"/>
        <v>0</v>
      </c>
      <c r="BQ28" s="196" t="s">
        <v>23</v>
      </c>
      <c r="BR28" s="183">
        <v>0</v>
      </c>
      <c r="BS28" s="59" t="s">
        <v>18</v>
      </c>
      <c r="BT28" s="195">
        <f t="shared" si="18"/>
        <v>0</v>
      </c>
      <c r="BU28" s="196" t="s">
        <v>23</v>
      </c>
      <c r="BV28" s="183">
        <v>0</v>
      </c>
      <c r="BW28" s="59" t="s">
        <v>18</v>
      </c>
      <c r="BX28" s="195">
        <f t="shared" si="19"/>
        <v>0</v>
      </c>
      <c r="BY28" s="196" t="s">
        <v>23</v>
      </c>
      <c r="BZ28" s="183">
        <v>0</v>
      </c>
      <c r="CA28" s="59" t="s">
        <v>18</v>
      </c>
      <c r="CB28" s="195">
        <f t="shared" si="20"/>
        <v>0</v>
      </c>
      <c r="CC28" s="196" t="s">
        <v>23</v>
      </c>
    </row>
    <row r="29" spans="1:81" ht="14.25">
      <c r="A29" s="178" t="s">
        <v>13</v>
      </c>
      <c r="B29" s="183">
        <v>1</v>
      </c>
      <c r="C29" s="59" t="s">
        <v>18</v>
      </c>
      <c r="D29" s="270">
        <f t="shared" si="1"/>
        <v>0</v>
      </c>
      <c r="E29" s="196" t="s">
        <v>23</v>
      </c>
      <c r="F29" s="183">
        <v>0</v>
      </c>
      <c r="G29" s="59" t="s">
        <v>18</v>
      </c>
      <c r="H29" s="195">
        <f t="shared" si="2"/>
        <v>0</v>
      </c>
      <c r="I29" s="196" t="s">
        <v>23</v>
      </c>
      <c r="J29" s="183">
        <v>0</v>
      </c>
      <c r="K29" s="59" t="s">
        <v>18</v>
      </c>
      <c r="L29" s="195">
        <f t="shared" si="3"/>
        <v>0</v>
      </c>
      <c r="M29" s="196" t="s">
        <v>23</v>
      </c>
      <c r="N29" s="183">
        <v>0</v>
      </c>
      <c r="O29" s="59" t="s">
        <v>18</v>
      </c>
      <c r="P29" s="195">
        <f t="shared" si="4"/>
        <v>0</v>
      </c>
      <c r="Q29" s="196" t="s">
        <v>23</v>
      </c>
      <c r="R29" s="183">
        <v>0</v>
      </c>
      <c r="S29" s="59" t="s">
        <v>18</v>
      </c>
      <c r="T29" s="195">
        <f t="shared" si="5"/>
        <v>0</v>
      </c>
      <c r="U29" s="196" t="s">
        <v>23</v>
      </c>
      <c r="V29" s="183">
        <v>0</v>
      </c>
      <c r="W29" s="59" t="s">
        <v>18</v>
      </c>
      <c r="X29" s="195">
        <f t="shared" si="6"/>
        <v>0</v>
      </c>
      <c r="Y29" s="196" t="s">
        <v>23</v>
      </c>
      <c r="Z29" s="183">
        <v>0</v>
      </c>
      <c r="AA29" s="59" t="s">
        <v>18</v>
      </c>
      <c r="AB29" s="195">
        <f t="shared" si="7"/>
        <v>0</v>
      </c>
      <c r="AC29" s="196" t="s">
        <v>23</v>
      </c>
      <c r="AD29" s="183">
        <v>0</v>
      </c>
      <c r="AE29" s="59" t="s">
        <v>18</v>
      </c>
      <c r="AF29" s="195">
        <f t="shared" si="8"/>
        <v>0</v>
      </c>
      <c r="AG29" s="196" t="s">
        <v>23</v>
      </c>
      <c r="AH29" s="183">
        <v>0</v>
      </c>
      <c r="AI29" s="59" t="s">
        <v>18</v>
      </c>
      <c r="AJ29" s="195">
        <f t="shared" si="9"/>
        <v>0</v>
      </c>
      <c r="AK29" s="196" t="s">
        <v>23</v>
      </c>
      <c r="AL29" s="183">
        <v>0</v>
      </c>
      <c r="AM29" s="59" t="s">
        <v>18</v>
      </c>
      <c r="AN29" s="195">
        <f t="shared" si="10"/>
        <v>0</v>
      </c>
      <c r="AO29" s="196" t="s">
        <v>23</v>
      </c>
      <c r="AP29" s="183">
        <v>0</v>
      </c>
      <c r="AQ29" s="59" t="s">
        <v>18</v>
      </c>
      <c r="AR29" s="195">
        <f t="shared" si="11"/>
        <v>0</v>
      </c>
      <c r="AS29" s="196" t="s">
        <v>23</v>
      </c>
      <c r="AT29" s="183">
        <v>0</v>
      </c>
      <c r="AU29" s="59" t="s">
        <v>18</v>
      </c>
      <c r="AV29" s="195">
        <f t="shared" si="12"/>
        <v>0</v>
      </c>
      <c r="AW29" s="196" t="s">
        <v>23</v>
      </c>
      <c r="AX29" s="183">
        <v>0</v>
      </c>
      <c r="AY29" s="59" t="s">
        <v>18</v>
      </c>
      <c r="AZ29" s="195">
        <f t="shared" si="13"/>
        <v>0</v>
      </c>
      <c r="BA29" s="196" t="s">
        <v>23</v>
      </c>
      <c r="BB29" s="183">
        <v>0</v>
      </c>
      <c r="BC29" s="59" t="s">
        <v>18</v>
      </c>
      <c r="BD29" s="195">
        <f t="shared" si="14"/>
        <v>0</v>
      </c>
      <c r="BE29" s="196" t="s">
        <v>23</v>
      </c>
      <c r="BF29" s="183">
        <v>0</v>
      </c>
      <c r="BG29" s="59" t="s">
        <v>18</v>
      </c>
      <c r="BH29" s="195">
        <f t="shared" si="15"/>
        <v>0</v>
      </c>
      <c r="BI29" s="196" t="s">
        <v>23</v>
      </c>
      <c r="BJ29" s="183">
        <v>0</v>
      </c>
      <c r="BK29" s="59" t="s">
        <v>18</v>
      </c>
      <c r="BL29" s="195">
        <f t="shared" si="16"/>
        <v>0</v>
      </c>
      <c r="BM29" s="196" t="s">
        <v>23</v>
      </c>
      <c r="BN29" s="183">
        <v>0</v>
      </c>
      <c r="BO29" s="59" t="s">
        <v>18</v>
      </c>
      <c r="BP29" s="195">
        <f t="shared" si="17"/>
        <v>0</v>
      </c>
      <c r="BQ29" s="196" t="s">
        <v>23</v>
      </c>
      <c r="BR29" s="183">
        <v>0</v>
      </c>
      <c r="BS29" s="59" t="s">
        <v>18</v>
      </c>
      <c r="BT29" s="195">
        <f t="shared" si="18"/>
        <v>0</v>
      </c>
      <c r="BU29" s="196" t="s">
        <v>23</v>
      </c>
      <c r="BV29" s="183">
        <v>0</v>
      </c>
      <c r="BW29" s="59" t="s">
        <v>18</v>
      </c>
      <c r="BX29" s="195">
        <f t="shared" si="19"/>
        <v>0</v>
      </c>
      <c r="BY29" s="196" t="s">
        <v>23</v>
      </c>
      <c r="BZ29" s="183">
        <v>0</v>
      </c>
      <c r="CA29" s="59" t="s">
        <v>18</v>
      </c>
      <c r="CB29" s="195">
        <f t="shared" si="20"/>
        <v>0</v>
      </c>
      <c r="CC29" s="196" t="s">
        <v>23</v>
      </c>
    </row>
    <row r="30" spans="1:81" ht="14.25">
      <c r="A30" s="177" t="s">
        <v>69</v>
      </c>
      <c r="B30" s="183">
        <v>1</v>
      </c>
      <c r="C30" s="59" t="s">
        <v>18</v>
      </c>
      <c r="D30" s="270">
        <f t="shared" si="1"/>
        <v>0</v>
      </c>
      <c r="E30" s="196" t="s">
        <v>23</v>
      </c>
      <c r="F30" s="183">
        <v>0</v>
      </c>
      <c r="G30" s="59" t="s">
        <v>18</v>
      </c>
      <c r="H30" s="195">
        <f t="shared" si="2"/>
        <v>0</v>
      </c>
      <c r="I30" s="196" t="s">
        <v>23</v>
      </c>
      <c r="J30" s="183">
        <v>0</v>
      </c>
      <c r="K30" s="59" t="s">
        <v>18</v>
      </c>
      <c r="L30" s="195">
        <f t="shared" si="3"/>
        <v>0</v>
      </c>
      <c r="M30" s="196" t="s">
        <v>23</v>
      </c>
      <c r="N30" s="183">
        <v>0</v>
      </c>
      <c r="O30" s="59" t="s">
        <v>18</v>
      </c>
      <c r="P30" s="195">
        <f t="shared" si="4"/>
        <v>0</v>
      </c>
      <c r="Q30" s="196" t="s">
        <v>23</v>
      </c>
      <c r="R30" s="183">
        <v>0</v>
      </c>
      <c r="S30" s="59" t="s">
        <v>18</v>
      </c>
      <c r="T30" s="195">
        <f t="shared" si="5"/>
        <v>0</v>
      </c>
      <c r="U30" s="196" t="s">
        <v>23</v>
      </c>
      <c r="V30" s="183">
        <v>0</v>
      </c>
      <c r="W30" s="59" t="s">
        <v>18</v>
      </c>
      <c r="X30" s="195">
        <f t="shared" si="6"/>
        <v>0</v>
      </c>
      <c r="Y30" s="196" t="s">
        <v>23</v>
      </c>
      <c r="Z30" s="183">
        <v>0</v>
      </c>
      <c r="AA30" s="59" t="s">
        <v>18</v>
      </c>
      <c r="AB30" s="195">
        <f t="shared" si="7"/>
        <v>0</v>
      </c>
      <c r="AC30" s="196" t="s">
        <v>23</v>
      </c>
      <c r="AD30" s="183">
        <v>0</v>
      </c>
      <c r="AE30" s="59" t="s">
        <v>18</v>
      </c>
      <c r="AF30" s="195">
        <f t="shared" si="8"/>
        <v>0</v>
      </c>
      <c r="AG30" s="196" t="s">
        <v>23</v>
      </c>
      <c r="AH30" s="183">
        <v>0</v>
      </c>
      <c r="AI30" s="59" t="s">
        <v>18</v>
      </c>
      <c r="AJ30" s="195">
        <f t="shared" si="9"/>
        <v>0</v>
      </c>
      <c r="AK30" s="196" t="s">
        <v>23</v>
      </c>
      <c r="AL30" s="183">
        <v>0</v>
      </c>
      <c r="AM30" s="59" t="s">
        <v>18</v>
      </c>
      <c r="AN30" s="195">
        <f t="shared" si="10"/>
        <v>0</v>
      </c>
      <c r="AO30" s="196" t="s">
        <v>23</v>
      </c>
      <c r="AP30" s="183">
        <v>0</v>
      </c>
      <c r="AQ30" s="59" t="s">
        <v>18</v>
      </c>
      <c r="AR30" s="195">
        <f t="shared" si="11"/>
        <v>0</v>
      </c>
      <c r="AS30" s="196" t="s">
        <v>23</v>
      </c>
      <c r="AT30" s="183">
        <v>0</v>
      </c>
      <c r="AU30" s="59" t="s">
        <v>18</v>
      </c>
      <c r="AV30" s="195">
        <f t="shared" si="12"/>
        <v>0</v>
      </c>
      <c r="AW30" s="196" t="s">
        <v>23</v>
      </c>
      <c r="AX30" s="183">
        <v>0</v>
      </c>
      <c r="AY30" s="59" t="s">
        <v>18</v>
      </c>
      <c r="AZ30" s="195">
        <f t="shared" si="13"/>
        <v>0</v>
      </c>
      <c r="BA30" s="196" t="s">
        <v>23</v>
      </c>
      <c r="BB30" s="183">
        <v>0</v>
      </c>
      <c r="BC30" s="59" t="s">
        <v>18</v>
      </c>
      <c r="BD30" s="195">
        <f t="shared" si="14"/>
        <v>0</v>
      </c>
      <c r="BE30" s="196" t="s">
        <v>23</v>
      </c>
      <c r="BF30" s="183">
        <v>0</v>
      </c>
      <c r="BG30" s="59" t="s">
        <v>18</v>
      </c>
      <c r="BH30" s="195">
        <f t="shared" si="15"/>
        <v>0</v>
      </c>
      <c r="BI30" s="196" t="s">
        <v>23</v>
      </c>
      <c r="BJ30" s="183">
        <v>0</v>
      </c>
      <c r="BK30" s="59" t="s">
        <v>18</v>
      </c>
      <c r="BL30" s="195">
        <f t="shared" si="16"/>
        <v>0</v>
      </c>
      <c r="BM30" s="196" t="s">
        <v>23</v>
      </c>
      <c r="BN30" s="183">
        <v>0</v>
      </c>
      <c r="BO30" s="59" t="s">
        <v>18</v>
      </c>
      <c r="BP30" s="195">
        <f t="shared" si="17"/>
        <v>0</v>
      </c>
      <c r="BQ30" s="196" t="s">
        <v>23</v>
      </c>
      <c r="BR30" s="183">
        <v>0</v>
      </c>
      <c r="BS30" s="59" t="s">
        <v>18</v>
      </c>
      <c r="BT30" s="195">
        <f t="shared" si="18"/>
        <v>0</v>
      </c>
      <c r="BU30" s="196" t="s">
        <v>23</v>
      </c>
      <c r="BV30" s="183">
        <v>0</v>
      </c>
      <c r="BW30" s="59" t="s">
        <v>18</v>
      </c>
      <c r="BX30" s="195">
        <f t="shared" si="19"/>
        <v>0</v>
      </c>
      <c r="BY30" s="196" t="s">
        <v>23</v>
      </c>
      <c r="BZ30" s="183">
        <v>0</v>
      </c>
      <c r="CA30" s="59" t="s">
        <v>18</v>
      </c>
      <c r="CB30" s="195">
        <f t="shared" si="20"/>
        <v>0</v>
      </c>
      <c r="CC30" s="196" t="s">
        <v>23</v>
      </c>
    </row>
    <row r="31" spans="1:81" ht="14.25">
      <c r="A31" s="178" t="s">
        <v>9</v>
      </c>
      <c r="B31" s="183">
        <v>1</v>
      </c>
      <c r="C31" s="59" t="s">
        <v>18</v>
      </c>
      <c r="D31" s="270">
        <f t="shared" si="1"/>
        <v>0</v>
      </c>
      <c r="E31" s="196" t="s">
        <v>23</v>
      </c>
      <c r="F31" s="183">
        <v>0</v>
      </c>
      <c r="G31" s="59" t="s">
        <v>18</v>
      </c>
      <c r="H31" s="195">
        <f t="shared" si="2"/>
        <v>0</v>
      </c>
      <c r="I31" s="196" t="s">
        <v>23</v>
      </c>
      <c r="J31" s="183">
        <v>0</v>
      </c>
      <c r="K31" s="59" t="s">
        <v>18</v>
      </c>
      <c r="L31" s="195">
        <f t="shared" si="3"/>
        <v>0</v>
      </c>
      <c r="M31" s="196" t="s">
        <v>23</v>
      </c>
      <c r="N31" s="183">
        <v>0</v>
      </c>
      <c r="O31" s="59" t="s">
        <v>18</v>
      </c>
      <c r="P31" s="195">
        <f t="shared" si="4"/>
        <v>0</v>
      </c>
      <c r="Q31" s="196" t="s">
        <v>23</v>
      </c>
      <c r="R31" s="183">
        <v>0</v>
      </c>
      <c r="S31" s="59" t="s">
        <v>18</v>
      </c>
      <c r="T31" s="195">
        <f t="shared" si="5"/>
        <v>0</v>
      </c>
      <c r="U31" s="196" t="s">
        <v>23</v>
      </c>
      <c r="V31" s="183">
        <v>0</v>
      </c>
      <c r="W31" s="59" t="s">
        <v>18</v>
      </c>
      <c r="X31" s="195">
        <f t="shared" si="6"/>
        <v>0</v>
      </c>
      <c r="Y31" s="196" t="s">
        <v>23</v>
      </c>
      <c r="Z31" s="183">
        <v>0</v>
      </c>
      <c r="AA31" s="59" t="s">
        <v>18</v>
      </c>
      <c r="AB31" s="195">
        <f t="shared" si="7"/>
        <v>0</v>
      </c>
      <c r="AC31" s="196" t="s">
        <v>23</v>
      </c>
      <c r="AD31" s="183">
        <v>0</v>
      </c>
      <c r="AE31" s="59" t="s">
        <v>18</v>
      </c>
      <c r="AF31" s="195">
        <f t="shared" si="8"/>
        <v>0</v>
      </c>
      <c r="AG31" s="196" t="s">
        <v>23</v>
      </c>
      <c r="AH31" s="183">
        <v>0</v>
      </c>
      <c r="AI31" s="59" t="s">
        <v>18</v>
      </c>
      <c r="AJ31" s="195">
        <f t="shared" si="9"/>
        <v>0</v>
      </c>
      <c r="AK31" s="196" t="s">
        <v>23</v>
      </c>
      <c r="AL31" s="183">
        <v>0</v>
      </c>
      <c r="AM31" s="59" t="s">
        <v>18</v>
      </c>
      <c r="AN31" s="195">
        <f t="shared" si="10"/>
        <v>0</v>
      </c>
      <c r="AO31" s="196" t="s">
        <v>23</v>
      </c>
      <c r="AP31" s="183">
        <v>0</v>
      </c>
      <c r="AQ31" s="59" t="s">
        <v>18</v>
      </c>
      <c r="AR31" s="195">
        <f t="shared" si="11"/>
        <v>0</v>
      </c>
      <c r="AS31" s="196" t="s">
        <v>23</v>
      </c>
      <c r="AT31" s="183">
        <v>0</v>
      </c>
      <c r="AU31" s="59" t="s">
        <v>18</v>
      </c>
      <c r="AV31" s="195">
        <f t="shared" si="12"/>
        <v>0</v>
      </c>
      <c r="AW31" s="196" t="s">
        <v>23</v>
      </c>
      <c r="AX31" s="183">
        <v>0</v>
      </c>
      <c r="AY31" s="59" t="s">
        <v>18</v>
      </c>
      <c r="AZ31" s="195">
        <f t="shared" si="13"/>
        <v>0</v>
      </c>
      <c r="BA31" s="196" t="s">
        <v>23</v>
      </c>
      <c r="BB31" s="183">
        <v>0</v>
      </c>
      <c r="BC31" s="59" t="s">
        <v>18</v>
      </c>
      <c r="BD31" s="195">
        <f t="shared" si="14"/>
        <v>0</v>
      </c>
      <c r="BE31" s="196" t="s">
        <v>23</v>
      </c>
      <c r="BF31" s="183">
        <v>0</v>
      </c>
      <c r="BG31" s="59" t="s">
        <v>18</v>
      </c>
      <c r="BH31" s="195">
        <f t="shared" si="15"/>
        <v>0</v>
      </c>
      <c r="BI31" s="196" t="s">
        <v>23</v>
      </c>
      <c r="BJ31" s="183">
        <v>0</v>
      </c>
      <c r="BK31" s="59" t="s">
        <v>18</v>
      </c>
      <c r="BL31" s="195">
        <f t="shared" si="16"/>
        <v>0</v>
      </c>
      <c r="BM31" s="196" t="s">
        <v>23</v>
      </c>
      <c r="BN31" s="183">
        <v>0</v>
      </c>
      <c r="BO31" s="59" t="s">
        <v>18</v>
      </c>
      <c r="BP31" s="195">
        <f t="shared" si="17"/>
        <v>0</v>
      </c>
      <c r="BQ31" s="196" t="s">
        <v>23</v>
      </c>
      <c r="BR31" s="183">
        <v>0</v>
      </c>
      <c r="BS31" s="59" t="s">
        <v>18</v>
      </c>
      <c r="BT31" s="195">
        <f t="shared" si="18"/>
        <v>0</v>
      </c>
      <c r="BU31" s="196" t="s">
        <v>23</v>
      </c>
      <c r="BV31" s="183">
        <v>0</v>
      </c>
      <c r="BW31" s="59" t="s">
        <v>18</v>
      </c>
      <c r="BX31" s="195">
        <f t="shared" si="19"/>
        <v>0</v>
      </c>
      <c r="BY31" s="196" t="s">
        <v>23</v>
      </c>
      <c r="BZ31" s="183">
        <v>0</v>
      </c>
      <c r="CA31" s="59" t="s">
        <v>18</v>
      </c>
      <c r="CB31" s="195">
        <f t="shared" si="20"/>
        <v>0</v>
      </c>
      <c r="CC31" s="196" t="s">
        <v>23</v>
      </c>
    </row>
    <row r="32" spans="1:81" ht="14.25">
      <c r="A32" s="179" t="s">
        <v>7</v>
      </c>
      <c r="B32" s="183">
        <v>1</v>
      </c>
      <c r="C32" s="59" t="s">
        <v>18</v>
      </c>
      <c r="D32" s="270">
        <f t="shared" si="1"/>
        <v>0</v>
      </c>
      <c r="E32" s="196" t="s">
        <v>23</v>
      </c>
      <c r="F32" s="183">
        <v>0</v>
      </c>
      <c r="G32" s="59" t="s">
        <v>18</v>
      </c>
      <c r="H32" s="195">
        <f t="shared" si="2"/>
        <v>0</v>
      </c>
      <c r="I32" s="196" t="s">
        <v>23</v>
      </c>
      <c r="J32" s="183">
        <v>0</v>
      </c>
      <c r="K32" s="59" t="s">
        <v>18</v>
      </c>
      <c r="L32" s="195">
        <f t="shared" si="3"/>
        <v>0</v>
      </c>
      <c r="M32" s="196" t="s">
        <v>23</v>
      </c>
      <c r="N32" s="183">
        <v>0</v>
      </c>
      <c r="O32" s="59" t="s">
        <v>18</v>
      </c>
      <c r="P32" s="195">
        <f t="shared" si="4"/>
        <v>0</v>
      </c>
      <c r="Q32" s="196" t="s">
        <v>23</v>
      </c>
      <c r="R32" s="183">
        <v>0</v>
      </c>
      <c r="S32" s="59" t="s">
        <v>18</v>
      </c>
      <c r="T32" s="195">
        <f t="shared" si="5"/>
        <v>0</v>
      </c>
      <c r="U32" s="196" t="s">
        <v>23</v>
      </c>
      <c r="V32" s="183">
        <v>0</v>
      </c>
      <c r="W32" s="59" t="s">
        <v>18</v>
      </c>
      <c r="X32" s="195">
        <f t="shared" si="6"/>
        <v>0</v>
      </c>
      <c r="Y32" s="196" t="s">
        <v>23</v>
      </c>
      <c r="Z32" s="183">
        <v>0</v>
      </c>
      <c r="AA32" s="59" t="s">
        <v>18</v>
      </c>
      <c r="AB32" s="195">
        <f t="shared" si="7"/>
        <v>0</v>
      </c>
      <c r="AC32" s="196" t="s">
        <v>23</v>
      </c>
      <c r="AD32" s="183">
        <v>0</v>
      </c>
      <c r="AE32" s="59" t="s">
        <v>18</v>
      </c>
      <c r="AF32" s="195">
        <f t="shared" si="8"/>
        <v>0</v>
      </c>
      <c r="AG32" s="196" t="s">
        <v>23</v>
      </c>
      <c r="AH32" s="183">
        <v>0</v>
      </c>
      <c r="AI32" s="59" t="s">
        <v>18</v>
      </c>
      <c r="AJ32" s="195">
        <f t="shared" si="9"/>
        <v>0</v>
      </c>
      <c r="AK32" s="196" t="s">
        <v>23</v>
      </c>
      <c r="AL32" s="183">
        <v>0</v>
      </c>
      <c r="AM32" s="59" t="s">
        <v>18</v>
      </c>
      <c r="AN32" s="195">
        <f t="shared" si="10"/>
        <v>0</v>
      </c>
      <c r="AO32" s="196" t="s">
        <v>23</v>
      </c>
      <c r="AP32" s="183">
        <v>0</v>
      </c>
      <c r="AQ32" s="59" t="s">
        <v>18</v>
      </c>
      <c r="AR32" s="195">
        <f t="shared" si="11"/>
        <v>0</v>
      </c>
      <c r="AS32" s="196" t="s">
        <v>23</v>
      </c>
      <c r="AT32" s="183">
        <v>0</v>
      </c>
      <c r="AU32" s="59" t="s">
        <v>18</v>
      </c>
      <c r="AV32" s="195">
        <f t="shared" si="12"/>
        <v>0</v>
      </c>
      <c r="AW32" s="196" t="s">
        <v>23</v>
      </c>
      <c r="AX32" s="183">
        <v>0</v>
      </c>
      <c r="AY32" s="59" t="s">
        <v>18</v>
      </c>
      <c r="AZ32" s="195">
        <f t="shared" si="13"/>
        <v>0</v>
      </c>
      <c r="BA32" s="196" t="s">
        <v>23</v>
      </c>
      <c r="BB32" s="183">
        <v>0</v>
      </c>
      <c r="BC32" s="59" t="s">
        <v>18</v>
      </c>
      <c r="BD32" s="195">
        <f t="shared" si="14"/>
        <v>0</v>
      </c>
      <c r="BE32" s="196" t="s">
        <v>23</v>
      </c>
      <c r="BF32" s="183">
        <v>0</v>
      </c>
      <c r="BG32" s="59" t="s">
        <v>18</v>
      </c>
      <c r="BH32" s="195">
        <f t="shared" si="15"/>
        <v>0</v>
      </c>
      <c r="BI32" s="196" t="s">
        <v>23</v>
      </c>
      <c r="BJ32" s="183">
        <v>0</v>
      </c>
      <c r="BK32" s="59" t="s">
        <v>18</v>
      </c>
      <c r="BL32" s="195">
        <f t="shared" si="16"/>
        <v>0</v>
      </c>
      <c r="BM32" s="196" t="s">
        <v>23</v>
      </c>
      <c r="BN32" s="183">
        <v>0</v>
      </c>
      <c r="BO32" s="59" t="s">
        <v>18</v>
      </c>
      <c r="BP32" s="195">
        <f t="shared" si="17"/>
        <v>0</v>
      </c>
      <c r="BQ32" s="196" t="s">
        <v>23</v>
      </c>
      <c r="BR32" s="183">
        <v>0</v>
      </c>
      <c r="BS32" s="59" t="s">
        <v>18</v>
      </c>
      <c r="BT32" s="195">
        <f t="shared" si="18"/>
        <v>0</v>
      </c>
      <c r="BU32" s="196" t="s">
        <v>23</v>
      </c>
      <c r="BV32" s="183">
        <v>0</v>
      </c>
      <c r="BW32" s="59" t="s">
        <v>18</v>
      </c>
      <c r="BX32" s="195">
        <f t="shared" si="19"/>
        <v>0</v>
      </c>
      <c r="BY32" s="196" t="s">
        <v>23</v>
      </c>
      <c r="BZ32" s="183">
        <v>0</v>
      </c>
      <c r="CA32" s="59" t="s">
        <v>18</v>
      </c>
      <c r="CB32" s="195">
        <f t="shared" si="20"/>
        <v>0</v>
      </c>
      <c r="CC32" s="196" t="s">
        <v>23</v>
      </c>
    </row>
    <row r="33" spans="1:81" ht="14.25">
      <c r="A33" s="178" t="s">
        <v>8</v>
      </c>
      <c r="B33" s="183">
        <v>1</v>
      </c>
      <c r="C33" s="59" t="s">
        <v>18</v>
      </c>
      <c r="D33" s="270">
        <f t="shared" si="1"/>
        <v>0</v>
      </c>
      <c r="E33" s="196" t="s">
        <v>23</v>
      </c>
      <c r="F33" s="183">
        <v>0</v>
      </c>
      <c r="G33" s="59" t="s">
        <v>18</v>
      </c>
      <c r="H33" s="195">
        <f t="shared" si="2"/>
        <v>0</v>
      </c>
      <c r="I33" s="196" t="s">
        <v>23</v>
      </c>
      <c r="J33" s="183">
        <v>0</v>
      </c>
      <c r="K33" s="59" t="s">
        <v>18</v>
      </c>
      <c r="L33" s="195">
        <f t="shared" si="3"/>
        <v>0</v>
      </c>
      <c r="M33" s="196" t="s">
        <v>23</v>
      </c>
      <c r="N33" s="183">
        <v>0</v>
      </c>
      <c r="O33" s="59" t="s">
        <v>18</v>
      </c>
      <c r="P33" s="195">
        <f t="shared" si="4"/>
        <v>0</v>
      </c>
      <c r="Q33" s="196" t="s">
        <v>23</v>
      </c>
      <c r="R33" s="183">
        <v>0</v>
      </c>
      <c r="S33" s="59" t="s">
        <v>18</v>
      </c>
      <c r="T33" s="195">
        <f t="shared" si="5"/>
        <v>0</v>
      </c>
      <c r="U33" s="196" t="s">
        <v>23</v>
      </c>
      <c r="V33" s="183">
        <v>0</v>
      </c>
      <c r="W33" s="59" t="s">
        <v>18</v>
      </c>
      <c r="X33" s="195">
        <f t="shared" si="6"/>
        <v>0</v>
      </c>
      <c r="Y33" s="196" t="s">
        <v>23</v>
      </c>
      <c r="Z33" s="183">
        <v>0</v>
      </c>
      <c r="AA33" s="59" t="s">
        <v>18</v>
      </c>
      <c r="AB33" s="195">
        <f t="shared" si="7"/>
        <v>0</v>
      </c>
      <c r="AC33" s="196" t="s">
        <v>23</v>
      </c>
      <c r="AD33" s="183">
        <v>0</v>
      </c>
      <c r="AE33" s="59" t="s">
        <v>18</v>
      </c>
      <c r="AF33" s="195">
        <f t="shared" si="8"/>
        <v>0</v>
      </c>
      <c r="AG33" s="196" t="s">
        <v>23</v>
      </c>
      <c r="AH33" s="183">
        <v>0</v>
      </c>
      <c r="AI33" s="59" t="s">
        <v>18</v>
      </c>
      <c r="AJ33" s="195">
        <f t="shared" si="9"/>
        <v>0</v>
      </c>
      <c r="AK33" s="196" t="s">
        <v>23</v>
      </c>
      <c r="AL33" s="183">
        <v>0</v>
      </c>
      <c r="AM33" s="59" t="s">
        <v>18</v>
      </c>
      <c r="AN33" s="195">
        <f t="shared" si="10"/>
        <v>0</v>
      </c>
      <c r="AO33" s="196" t="s">
        <v>23</v>
      </c>
      <c r="AP33" s="183">
        <v>0</v>
      </c>
      <c r="AQ33" s="59" t="s">
        <v>18</v>
      </c>
      <c r="AR33" s="195">
        <f t="shared" si="11"/>
        <v>0</v>
      </c>
      <c r="AS33" s="196" t="s">
        <v>23</v>
      </c>
      <c r="AT33" s="183">
        <v>0</v>
      </c>
      <c r="AU33" s="59" t="s">
        <v>18</v>
      </c>
      <c r="AV33" s="195">
        <f t="shared" si="12"/>
        <v>0</v>
      </c>
      <c r="AW33" s="196" t="s">
        <v>23</v>
      </c>
      <c r="AX33" s="183">
        <v>0</v>
      </c>
      <c r="AY33" s="59" t="s">
        <v>18</v>
      </c>
      <c r="AZ33" s="195">
        <f t="shared" si="13"/>
        <v>0</v>
      </c>
      <c r="BA33" s="196" t="s">
        <v>23</v>
      </c>
      <c r="BB33" s="183">
        <v>0</v>
      </c>
      <c r="BC33" s="59" t="s">
        <v>18</v>
      </c>
      <c r="BD33" s="195">
        <f t="shared" si="14"/>
        <v>0</v>
      </c>
      <c r="BE33" s="196" t="s">
        <v>23</v>
      </c>
      <c r="BF33" s="183">
        <v>0</v>
      </c>
      <c r="BG33" s="59" t="s">
        <v>18</v>
      </c>
      <c r="BH33" s="195">
        <f t="shared" si="15"/>
        <v>0</v>
      </c>
      <c r="BI33" s="196" t="s">
        <v>23</v>
      </c>
      <c r="BJ33" s="183">
        <v>0</v>
      </c>
      <c r="BK33" s="59" t="s">
        <v>18</v>
      </c>
      <c r="BL33" s="195">
        <f t="shared" si="16"/>
        <v>0</v>
      </c>
      <c r="BM33" s="196" t="s">
        <v>23</v>
      </c>
      <c r="BN33" s="183">
        <v>0</v>
      </c>
      <c r="BO33" s="59" t="s">
        <v>18</v>
      </c>
      <c r="BP33" s="195">
        <f t="shared" si="17"/>
        <v>0</v>
      </c>
      <c r="BQ33" s="196" t="s">
        <v>23</v>
      </c>
      <c r="BR33" s="183">
        <v>0</v>
      </c>
      <c r="BS33" s="59" t="s">
        <v>18</v>
      </c>
      <c r="BT33" s="195">
        <f t="shared" si="18"/>
        <v>0</v>
      </c>
      <c r="BU33" s="196" t="s">
        <v>23</v>
      </c>
      <c r="BV33" s="183">
        <v>0</v>
      </c>
      <c r="BW33" s="59" t="s">
        <v>18</v>
      </c>
      <c r="BX33" s="195">
        <f t="shared" si="19"/>
        <v>0</v>
      </c>
      <c r="BY33" s="196" t="s">
        <v>23</v>
      </c>
      <c r="BZ33" s="183">
        <v>0</v>
      </c>
      <c r="CA33" s="59" t="s">
        <v>18</v>
      </c>
      <c r="CB33" s="195">
        <f t="shared" si="20"/>
        <v>0</v>
      </c>
      <c r="CC33" s="196" t="s">
        <v>23</v>
      </c>
    </row>
    <row r="34" spans="1:81" ht="14.25">
      <c r="A34" s="178" t="s">
        <v>11</v>
      </c>
      <c r="B34" s="183">
        <v>1</v>
      </c>
      <c r="C34" s="59" t="s">
        <v>18</v>
      </c>
      <c r="D34" s="270">
        <f t="shared" si="1"/>
        <v>0</v>
      </c>
      <c r="E34" s="196" t="s">
        <v>23</v>
      </c>
      <c r="F34" s="183">
        <v>0</v>
      </c>
      <c r="G34" s="59" t="s">
        <v>18</v>
      </c>
      <c r="H34" s="195">
        <f t="shared" si="2"/>
        <v>0</v>
      </c>
      <c r="I34" s="196" t="s">
        <v>23</v>
      </c>
      <c r="J34" s="183">
        <v>0</v>
      </c>
      <c r="K34" s="59" t="s">
        <v>18</v>
      </c>
      <c r="L34" s="195">
        <f t="shared" si="3"/>
        <v>0</v>
      </c>
      <c r="M34" s="196" t="s">
        <v>23</v>
      </c>
      <c r="N34" s="183">
        <v>0</v>
      </c>
      <c r="O34" s="59" t="s">
        <v>18</v>
      </c>
      <c r="P34" s="195">
        <f t="shared" si="4"/>
        <v>0</v>
      </c>
      <c r="Q34" s="196" t="s">
        <v>23</v>
      </c>
      <c r="R34" s="183">
        <v>0</v>
      </c>
      <c r="S34" s="59" t="s">
        <v>18</v>
      </c>
      <c r="T34" s="195">
        <f t="shared" si="5"/>
        <v>0</v>
      </c>
      <c r="U34" s="196" t="s">
        <v>23</v>
      </c>
      <c r="V34" s="183">
        <v>0</v>
      </c>
      <c r="W34" s="59" t="s">
        <v>18</v>
      </c>
      <c r="X34" s="195">
        <f t="shared" si="6"/>
        <v>0</v>
      </c>
      <c r="Y34" s="196" t="s">
        <v>23</v>
      </c>
      <c r="Z34" s="183">
        <v>0</v>
      </c>
      <c r="AA34" s="59" t="s">
        <v>18</v>
      </c>
      <c r="AB34" s="195">
        <f t="shared" si="7"/>
        <v>0</v>
      </c>
      <c r="AC34" s="196" t="s">
        <v>23</v>
      </c>
      <c r="AD34" s="183">
        <v>0</v>
      </c>
      <c r="AE34" s="59" t="s">
        <v>18</v>
      </c>
      <c r="AF34" s="195">
        <f t="shared" si="8"/>
        <v>0</v>
      </c>
      <c r="AG34" s="196" t="s">
        <v>23</v>
      </c>
      <c r="AH34" s="183">
        <v>0</v>
      </c>
      <c r="AI34" s="59" t="s">
        <v>18</v>
      </c>
      <c r="AJ34" s="195">
        <f t="shared" si="9"/>
        <v>0</v>
      </c>
      <c r="AK34" s="196" t="s">
        <v>23</v>
      </c>
      <c r="AL34" s="183">
        <v>0</v>
      </c>
      <c r="AM34" s="59" t="s">
        <v>18</v>
      </c>
      <c r="AN34" s="195">
        <f t="shared" si="10"/>
        <v>0</v>
      </c>
      <c r="AO34" s="196" t="s">
        <v>23</v>
      </c>
      <c r="AP34" s="183">
        <v>0</v>
      </c>
      <c r="AQ34" s="59" t="s">
        <v>18</v>
      </c>
      <c r="AR34" s="195">
        <f t="shared" si="11"/>
        <v>0</v>
      </c>
      <c r="AS34" s="196" t="s">
        <v>23</v>
      </c>
      <c r="AT34" s="183">
        <v>0</v>
      </c>
      <c r="AU34" s="59" t="s">
        <v>18</v>
      </c>
      <c r="AV34" s="195">
        <f t="shared" si="12"/>
        <v>0</v>
      </c>
      <c r="AW34" s="196" t="s">
        <v>23</v>
      </c>
      <c r="AX34" s="183">
        <v>0</v>
      </c>
      <c r="AY34" s="59" t="s">
        <v>18</v>
      </c>
      <c r="AZ34" s="195">
        <f t="shared" si="13"/>
        <v>0</v>
      </c>
      <c r="BA34" s="196" t="s">
        <v>23</v>
      </c>
      <c r="BB34" s="183">
        <v>0</v>
      </c>
      <c r="BC34" s="59" t="s">
        <v>18</v>
      </c>
      <c r="BD34" s="195">
        <f t="shared" si="14"/>
        <v>0</v>
      </c>
      <c r="BE34" s="196" t="s">
        <v>23</v>
      </c>
      <c r="BF34" s="183">
        <v>0</v>
      </c>
      <c r="BG34" s="59" t="s">
        <v>18</v>
      </c>
      <c r="BH34" s="195">
        <f t="shared" si="15"/>
        <v>0</v>
      </c>
      <c r="BI34" s="196" t="s">
        <v>23</v>
      </c>
      <c r="BJ34" s="183">
        <v>0</v>
      </c>
      <c r="BK34" s="59" t="s">
        <v>18</v>
      </c>
      <c r="BL34" s="195">
        <f t="shared" si="16"/>
        <v>0</v>
      </c>
      <c r="BM34" s="196" t="s">
        <v>23</v>
      </c>
      <c r="BN34" s="183">
        <v>0</v>
      </c>
      <c r="BO34" s="59" t="s">
        <v>18</v>
      </c>
      <c r="BP34" s="195">
        <f t="shared" si="17"/>
        <v>0</v>
      </c>
      <c r="BQ34" s="196" t="s">
        <v>23</v>
      </c>
      <c r="BR34" s="183">
        <v>0</v>
      </c>
      <c r="BS34" s="59" t="s">
        <v>18</v>
      </c>
      <c r="BT34" s="195">
        <f t="shared" si="18"/>
        <v>0</v>
      </c>
      <c r="BU34" s="196" t="s">
        <v>23</v>
      </c>
      <c r="BV34" s="183">
        <v>0</v>
      </c>
      <c r="BW34" s="59" t="s">
        <v>18</v>
      </c>
      <c r="BX34" s="195">
        <f t="shared" si="19"/>
        <v>0</v>
      </c>
      <c r="BY34" s="196" t="s">
        <v>23</v>
      </c>
      <c r="BZ34" s="183">
        <v>0</v>
      </c>
      <c r="CA34" s="59" t="s">
        <v>18</v>
      </c>
      <c r="CB34" s="195">
        <f t="shared" si="20"/>
        <v>0</v>
      </c>
      <c r="CC34" s="196" t="s">
        <v>23</v>
      </c>
    </row>
    <row r="35" spans="1:81" ht="14.25">
      <c r="A35" s="179" t="s">
        <v>70</v>
      </c>
      <c r="B35" s="183">
        <v>1</v>
      </c>
      <c r="C35" s="59" t="s">
        <v>18</v>
      </c>
      <c r="D35" s="270">
        <f t="shared" si="1"/>
        <v>0</v>
      </c>
      <c r="E35" s="196" t="s">
        <v>23</v>
      </c>
      <c r="F35" s="183">
        <v>0</v>
      </c>
      <c r="G35" s="59" t="s">
        <v>18</v>
      </c>
      <c r="H35" s="195">
        <f t="shared" si="2"/>
        <v>0</v>
      </c>
      <c r="I35" s="196" t="s">
        <v>23</v>
      </c>
      <c r="J35" s="183">
        <v>0</v>
      </c>
      <c r="K35" s="59" t="s">
        <v>18</v>
      </c>
      <c r="L35" s="195">
        <f t="shared" si="3"/>
        <v>0</v>
      </c>
      <c r="M35" s="196" t="s">
        <v>23</v>
      </c>
      <c r="N35" s="183">
        <v>0</v>
      </c>
      <c r="O35" s="59" t="s">
        <v>18</v>
      </c>
      <c r="P35" s="195">
        <f t="shared" si="4"/>
        <v>0</v>
      </c>
      <c r="Q35" s="196" t="s">
        <v>23</v>
      </c>
      <c r="R35" s="183">
        <v>0</v>
      </c>
      <c r="S35" s="59" t="s">
        <v>18</v>
      </c>
      <c r="T35" s="195">
        <f t="shared" si="5"/>
        <v>0</v>
      </c>
      <c r="U35" s="196" t="s">
        <v>23</v>
      </c>
      <c r="V35" s="183">
        <v>0</v>
      </c>
      <c r="W35" s="59" t="s">
        <v>18</v>
      </c>
      <c r="X35" s="195">
        <f t="shared" si="6"/>
        <v>0</v>
      </c>
      <c r="Y35" s="196" t="s">
        <v>23</v>
      </c>
      <c r="Z35" s="183">
        <v>0</v>
      </c>
      <c r="AA35" s="59" t="s">
        <v>18</v>
      </c>
      <c r="AB35" s="195">
        <f t="shared" si="7"/>
        <v>0</v>
      </c>
      <c r="AC35" s="196" t="s">
        <v>23</v>
      </c>
      <c r="AD35" s="183">
        <v>0</v>
      </c>
      <c r="AE35" s="59" t="s">
        <v>18</v>
      </c>
      <c r="AF35" s="195">
        <f t="shared" si="8"/>
        <v>0</v>
      </c>
      <c r="AG35" s="196" t="s">
        <v>23</v>
      </c>
      <c r="AH35" s="183">
        <v>0</v>
      </c>
      <c r="AI35" s="59" t="s">
        <v>18</v>
      </c>
      <c r="AJ35" s="195">
        <f t="shared" si="9"/>
        <v>0</v>
      </c>
      <c r="AK35" s="196" t="s">
        <v>23</v>
      </c>
      <c r="AL35" s="183">
        <v>0</v>
      </c>
      <c r="AM35" s="59" t="s">
        <v>18</v>
      </c>
      <c r="AN35" s="195">
        <f t="shared" si="10"/>
        <v>0</v>
      </c>
      <c r="AO35" s="196" t="s">
        <v>23</v>
      </c>
      <c r="AP35" s="183">
        <v>0</v>
      </c>
      <c r="AQ35" s="59" t="s">
        <v>18</v>
      </c>
      <c r="AR35" s="195">
        <f t="shared" si="11"/>
        <v>0</v>
      </c>
      <c r="AS35" s="196" t="s">
        <v>23</v>
      </c>
      <c r="AT35" s="183">
        <v>0</v>
      </c>
      <c r="AU35" s="59" t="s">
        <v>18</v>
      </c>
      <c r="AV35" s="195">
        <f t="shared" si="12"/>
        <v>0</v>
      </c>
      <c r="AW35" s="196" t="s">
        <v>23</v>
      </c>
      <c r="AX35" s="183">
        <v>0</v>
      </c>
      <c r="AY35" s="59" t="s">
        <v>18</v>
      </c>
      <c r="AZ35" s="195">
        <f t="shared" si="13"/>
        <v>0</v>
      </c>
      <c r="BA35" s="196" t="s">
        <v>23</v>
      </c>
      <c r="BB35" s="183">
        <v>0</v>
      </c>
      <c r="BC35" s="59" t="s">
        <v>18</v>
      </c>
      <c r="BD35" s="195">
        <f t="shared" si="14"/>
        <v>0</v>
      </c>
      <c r="BE35" s="196" t="s">
        <v>23</v>
      </c>
      <c r="BF35" s="183">
        <v>0</v>
      </c>
      <c r="BG35" s="59" t="s">
        <v>18</v>
      </c>
      <c r="BH35" s="195">
        <f t="shared" si="15"/>
        <v>0</v>
      </c>
      <c r="BI35" s="196" t="s">
        <v>23</v>
      </c>
      <c r="BJ35" s="183">
        <v>0</v>
      </c>
      <c r="BK35" s="59" t="s">
        <v>18</v>
      </c>
      <c r="BL35" s="195">
        <f t="shared" si="16"/>
        <v>0</v>
      </c>
      <c r="BM35" s="196" t="s">
        <v>23</v>
      </c>
      <c r="BN35" s="183">
        <v>0</v>
      </c>
      <c r="BO35" s="59" t="s">
        <v>18</v>
      </c>
      <c r="BP35" s="195">
        <f t="shared" si="17"/>
        <v>0</v>
      </c>
      <c r="BQ35" s="196" t="s">
        <v>23</v>
      </c>
      <c r="BR35" s="183">
        <v>0</v>
      </c>
      <c r="BS35" s="59" t="s">
        <v>18</v>
      </c>
      <c r="BT35" s="195">
        <f t="shared" si="18"/>
        <v>0</v>
      </c>
      <c r="BU35" s="196" t="s">
        <v>23</v>
      </c>
      <c r="BV35" s="183">
        <v>0</v>
      </c>
      <c r="BW35" s="59" t="s">
        <v>18</v>
      </c>
      <c r="BX35" s="195">
        <f t="shared" si="19"/>
        <v>0</v>
      </c>
      <c r="BY35" s="196" t="s">
        <v>23</v>
      </c>
      <c r="BZ35" s="183">
        <v>0</v>
      </c>
      <c r="CA35" s="59" t="s">
        <v>18</v>
      </c>
      <c r="CB35" s="195">
        <f t="shared" si="20"/>
        <v>0</v>
      </c>
      <c r="CC35" s="196" t="s">
        <v>23</v>
      </c>
    </row>
    <row r="36" spans="1:81" ht="14.25">
      <c r="A36" s="179" t="s">
        <v>16</v>
      </c>
      <c r="B36" s="183">
        <v>1</v>
      </c>
      <c r="C36" s="59" t="s">
        <v>18</v>
      </c>
      <c r="D36" s="270">
        <f t="shared" si="1"/>
        <v>0</v>
      </c>
      <c r="E36" s="196" t="s">
        <v>23</v>
      </c>
      <c r="F36" s="183">
        <v>0</v>
      </c>
      <c r="G36" s="59" t="s">
        <v>18</v>
      </c>
      <c r="H36" s="195">
        <f t="shared" si="2"/>
        <v>0</v>
      </c>
      <c r="I36" s="196" t="s">
        <v>23</v>
      </c>
      <c r="J36" s="183">
        <v>0</v>
      </c>
      <c r="K36" s="59" t="s">
        <v>18</v>
      </c>
      <c r="L36" s="195">
        <f t="shared" si="3"/>
        <v>0</v>
      </c>
      <c r="M36" s="196" t="s">
        <v>23</v>
      </c>
      <c r="N36" s="183">
        <v>0</v>
      </c>
      <c r="O36" s="59" t="s">
        <v>18</v>
      </c>
      <c r="P36" s="195">
        <f t="shared" si="4"/>
        <v>0</v>
      </c>
      <c r="Q36" s="196" t="s">
        <v>23</v>
      </c>
      <c r="R36" s="183">
        <v>0</v>
      </c>
      <c r="S36" s="59" t="s">
        <v>18</v>
      </c>
      <c r="T36" s="195">
        <f t="shared" si="5"/>
        <v>0</v>
      </c>
      <c r="U36" s="196" t="s">
        <v>23</v>
      </c>
      <c r="V36" s="183">
        <v>0</v>
      </c>
      <c r="W36" s="59" t="s">
        <v>18</v>
      </c>
      <c r="X36" s="195">
        <f t="shared" si="6"/>
        <v>0</v>
      </c>
      <c r="Y36" s="196" t="s">
        <v>23</v>
      </c>
      <c r="Z36" s="183">
        <v>0</v>
      </c>
      <c r="AA36" s="59" t="s">
        <v>18</v>
      </c>
      <c r="AB36" s="195">
        <f t="shared" si="7"/>
        <v>0</v>
      </c>
      <c r="AC36" s="196" t="s">
        <v>23</v>
      </c>
      <c r="AD36" s="183">
        <v>0</v>
      </c>
      <c r="AE36" s="59" t="s">
        <v>18</v>
      </c>
      <c r="AF36" s="195">
        <f t="shared" si="8"/>
        <v>0</v>
      </c>
      <c r="AG36" s="196" t="s">
        <v>23</v>
      </c>
      <c r="AH36" s="183">
        <v>0</v>
      </c>
      <c r="AI36" s="59" t="s">
        <v>18</v>
      </c>
      <c r="AJ36" s="195">
        <f t="shared" si="9"/>
        <v>0</v>
      </c>
      <c r="AK36" s="196" t="s">
        <v>23</v>
      </c>
      <c r="AL36" s="183">
        <v>0</v>
      </c>
      <c r="AM36" s="59" t="s">
        <v>18</v>
      </c>
      <c r="AN36" s="195">
        <f t="shared" si="10"/>
        <v>0</v>
      </c>
      <c r="AO36" s="196" t="s">
        <v>23</v>
      </c>
      <c r="AP36" s="183">
        <v>0</v>
      </c>
      <c r="AQ36" s="59" t="s">
        <v>18</v>
      </c>
      <c r="AR36" s="195">
        <f t="shared" si="11"/>
        <v>0</v>
      </c>
      <c r="AS36" s="196" t="s">
        <v>23</v>
      </c>
      <c r="AT36" s="183">
        <v>0</v>
      </c>
      <c r="AU36" s="59" t="s">
        <v>18</v>
      </c>
      <c r="AV36" s="195">
        <f t="shared" si="12"/>
        <v>0</v>
      </c>
      <c r="AW36" s="196" t="s">
        <v>23</v>
      </c>
      <c r="AX36" s="183">
        <v>0</v>
      </c>
      <c r="AY36" s="59" t="s">
        <v>18</v>
      </c>
      <c r="AZ36" s="195">
        <f t="shared" si="13"/>
        <v>0</v>
      </c>
      <c r="BA36" s="196" t="s">
        <v>23</v>
      </c>
      <c r="BB36" s="183">
        <v>0</v>
      </c>
      <c r="BC36" s="59" t="s">
        <v>18</v>
      </c>
      <c r="BD36" s="195">
        <f t="shared" si="14"/>
        <v>0</v>
      </c>
      <c r="BE36" s="196" t="s">
        <v>23</v>
      </c>
      <c r="BF36" s="183">
        <v>0</v>
      </c>
      <c r="BG36" s="59" t="s">
        <v>18</v>
      </c>
      <c r="BH36" s="195">
        <f t="shared" si="15"/>
        <v>0</v>
      </c>
      <c r="BI36" s="196" t="s">
        <v>23</v>
      </c>
      <c r="BJ36" s="183">
        <v>0</v>
      </c>
      <c r="BK36" s="59" t="s">
        <v>18</v>
      </c>
      <c r="BL36" s="195">
        <f t="shared" si="16"/>
        <v>0</v>
      </c>
      <c r="BM36" s="196" t="s">
        <v>23</v>
      </c>
      <c r="BN36" s="183">
        <v>0</v>
      </c>
      <c r="BO36" s="59" t="s">
        <v>18</v>
      </c>
      <c r="BP36" s="195">
        <f t="shared" si="17"/>
        <v>0</v>
      </c>
      <c r="BQ36" s="196" t="s">
        <v>23</v>
      </c>
      <c r="BR36" s="183">
        <v>0</v>
      </c>
      <c r="BS36" s="59" t="s">
        <v>18</v>
      </c>
      <c r="BT36" s="195">
        <f t="shared" si="18"/>
        <v>0</v>
      </c>
      <c r="BU36" s="196" t="s">
        <v>23</v>
      </c>
      <c r="BV36" s="183">
        <v>0</v>
      </c>
      <c r="BW36" s="59" t="s">
        <v>18</v>
      </c>
      <c r="BX36" s="195">
        <f t="shared" si="19"/>
        <v>0</v>
      </c>
      <c r="BY36" s="196" t="s">
        <v>23</v>
      </c>
      <c r="BZ36" s="183">
        <v>0</v>
      </c>
      <c r="CA36" s="59" t="s">
        <v>18</v>
      </c>
      <c r="CB36" s="195">
        <f t="shared" si="20"/>
        <v>0</v>
      </c>
      <c r="CC36" s="196" t="s">
        <v>23</v>
      </c>
    </row>
    <row r="37" spans="1:81" ht="14.25">
      <c r="A37" s="177" t="s">
        <v>71</v>
      </c>
      <c r="B37" s="183">
        <v>1</v>
      </c>
      <c r="C37" s="59" t="s">
        <v>18</v>
      </c>
      <c r="D37" s="270">
        <f t="shared" si="1"/>
        <v>0</v>
      </c>
      <c r="E37" s="196" t="s">
        <v>23</v>
      </c>
      <c r="F37" s="183">
        <v>0</v>
      </c>
      <c r="G37" s="59" t="s">
        <v>18</v>
      </c>
      <c r="H37" s="195">
        <f t="shared" si="2"/>
        <v>0</v>
      </c>
      <c r="I37" s="196" t="s">
        <v>23</v>
      </c>
      <c r="J37" s="183">
        <v>0</v>
      </c>
      <c r="K37" s="59" t="s">
        <v>18</v>
      </c>
      <c r="L37" s="195">
        <f t="shared" si="3"/>
        <v>0</v>
      </c>
      <c r="M37" s="196" t="s">
        <v>23</v>
      </c>
      <c r="N37" s="183">
        <v>0</v>
      </c>
      <c r="O37" s="59" t="s">
        <v>18</v>
      </c>
      <c r="P37" s="195">
        <f t="shared" si="4"/>
        <v>0</v>
      </c>
      <c r="Q37" s="196" t="s">
        <v>23</v>
      </c>
      <c r="R37" s="183">
        <v>0</v>
      </c>
      <c r="S37" s="59" t="s">
        <v>18</v>
      </c>
      <c r="T37" s="195">
        <f t="shared" si="5"/>
        <v>0</v>
      </c>
      <c r="U37" s="196" t="s">
        <v>23</v>
      </c>
      <c r="V37" s="183">
        <v>0</v>
      </c>
      <c r="W37" s="59" t="s">
        <v>18</v>
      </c>
      <c r="X37" s="195">
        <f t="shared" si="6"/>
        <v>0</v>
      </c>
      <c r="Y37" s="196" t="s">
        <v>23</v>
      </c>
      <c r="Z37" s="183">
        <v>0</v>
      </c>
      <c r="AA37" s="59" t="s">
        <v>18</v>
      </c>
      <c r="AB37" s="195">
        <f t="shared" si="7"/>
        <v>0</v>
      </c>
      <c r="AC37" s="196" t="s">
        <v>23</v>
      </c>
      <c r="AD37" s="183">
        <v>0</v>
      </c>
      <c r="AE37" s="59" t="s">
        <v>18</v>
      </c>
      <c r="AF37" s="195">
        <f t="shared" si="8"/>
        <v>0</v>
      </c>
      <c r="AG37" s="196" t="s">
        <v>23</v>
      </c>
      <c r="AH37" s="183">
        <v>0</v>
      </c>
      <c r="AI37" s="59" t="s">
        <v>18</v>
      </c>
      <c r="AJ37" s="195">
        <f t="shared" si="9"/>
        <v>0</v>
      </c>
      <c r="AK37" s="196" t="s">
        <v>23</v>
      </c>
      <c r="AL37" s="183">
        <v>0</v>
      </c>
      <c r="AM37" s="59" t="s">
        <v>18</v>
      </c>
      <c r="AN37" s="195">
        <f t="shared" si="10"/>
        <v>0</v>
      </c>
      <c r="AO37" s="196" t="s">
        <v>23</v>
      </c>
      <c r="AP37" s="183">
        <v>0</v>
      </c>
      <c r="AQ37" s="59" t="s">
        <v>18</v>
      </c>
      <c r="AR37" s="195">
        <f t="shared" si="11"/>
        <v>0</v>
      </c>
      <c r="AS37" s="196" t="s">
        <v>23</v>
      </c>
      <c r="AT37" s="183">
        <v>0</v>
      </c>
      <c r="AU37" s="59" t="s">
        <v>18</v>
      </c>
      <c r="AV37" s="195">
        <f t="shared" si="12"/>
        <v>0</v>
      </c>
      <c r="AW37" s="196" t="s">
        <v>23</v>
      </c>
      <c r="AX37" s="183">
        <v>0</v>
      </c>
      <c r="AY37" s="59" t="s">
        <v>18</v>
      </c>
      <c r="AZ37" s="195">
        <f t="shared" si="13"/>
        <v>0</v>
      </c>
      <c r="BA37" s="196" t="s">
        <v>23</v>
      </c>
      <c r="BB37" s="183">
        <v>0</v>
      </c>
      <c r="BC37" s="59" t="s">
        <v>18</v>
      </c>
      <c r="BD37" s="195">
        <f t="shared" si="14"/>
        <v>0</v>
      </c>
      <c r="BE37" s="196" t="s">
        <v>23</v>
      </c>
      <c r="BF37" s="183">
        <v>0</v>
      </c>
      <c r="BG37" s="59" t="s">
        <v>18</v>
      </c>
      <c r="BH37" s="195">
        <f t="shared" si="15"/>
        <v>0</v>
      </c>
      <c r="BI37" s="196" t="s">
        <v>23</v>
      </c>
      <c r="BJ37" s="183">
        <v>0</v>
      </c>
      <c r="BK37" s="59" t="s">
        <v>18</v>
      </c>
      <c r="BL37" s="195">
        <f t="shared" si="16"/>
        <v>0</v>
      </c>
      <c r="BM37" s="196" t="s">
        <v>23</v>
      </c>
      <c r="BN37" s="183">
        <v>0</v>
      </c>
      <c r="BO37" s="59" t="s">
        <v>18</v>
      </c>
      <c r="BP37" s="195">
        <f t="shared" si="17"/>
        <v>0</v>
      </c>
      <c r="BQ37" s="196" t="s">
        <v>23</v>
      </c>
      <c r="BR37" s="183">
        <v>0</v>
      </c>
      <c r="BS37" s="59" t="s">
        <v>18</v>
      </c>
      <c r="BT37" s="195">
        <f t="shared" si="18"/>
        <v>0</v>
      </c>
      <c r="BU37" s="196" t="s">
        <v>23</v>
      </c>
      <c r="BV37" s="183">
        <v>0</v>
      </c>
      <c r="BW37" s="59" t="s">
        <v>18</v>
      </c>
      <c r="BX37" s="195">
        <f t="shared" si="19"/>
        <v>0</v>
      </c>
      <c r="BY37" s="196" t="s">
        <v>23</v>
      </c>
      <c r="BZ37" s="183">
        <v>0</v>
      </c>
      <c r="CA37" s="59" t="s">
        <v>18</v>
      </c>
      <c r="CB37" s="195">
        <f t="shared" si="20"/>
        <v>0</v>
      </c>
      <c r="CC37" s="196" t="s">
        <v>23</v>
      </c>
    </row>
    <row r="38" spans="1:81" ht="14.25">
      <c r="A38" s="178" t="s">
        <v>12</v>
      </c>
      <c r="B38" s="183">
        <v>1</v>
      </c>
      <c r="C38" s="59" t="s">
        <v>18</v>
      </c>
      <c r="D38" s="270">
        <f t="shared" si="1"/>
        <v>0</v>
      </c>
      <c r="E38" s="196" t="s">
        <v>23</v>
      </c>
      <c r="F38" s="183">
        <v>0</v>
      </c>
      <c r="G38" s="59" t="s">
        <v>18</v>
      </c>
      <c r="H38" s="195">
        <f t="shared" si="2"/>
        <v>0</v>
      </c>
      <c r="I38" s="196" t="s">
        <v>23</v>
      </c>
      <c r="J38" s="183">
        <v>0</v>
      </c>
      <c r="K38" s="59" t="s">
        <v>18</v>
      </c>
      <c r="L38" s="195">
        <f t="shared" si="3"/>
        <v>0</v>
      </c>
      <c r="M38" s="196" t="s">
        <v>23</v>
      </c>
      <c r="N38" s="183">
        <v>0</v>
      </c>
      <c r="O38" s="59" t="s">
        <v>18</v>
      </c>
      <c r="P38" s="195">
        <f t="shared" si="4"/>
        <v>0</v>
      </c>
      <c r="Q38" s="196" t="s">
        <v>23</v>
      </c>
      <c r="R38" s="183">
        <v>0</v>
      </c>
      <c r="S38" s="59" t="s">
        <v>18</v>
      </c>
      <c r="T38" s="195">
        <f t="shared" si="5"/>
        <v>0</v>
      </c>
      <c r="U38" s="196" t="s">
        <v>23</v>
      </c>
      <c r="V38" s="183">
        <v>0</v>
      </c>
      <c r="W38" s="59" t="s">
        <v>18</v>
      </c>
      <c r="X38" s="195">
        <f t="shared" si="6"/>
        <v>0</v>
      </c>
      <c r="Y38" s="196" t="s">
        <v>23</v>
      </c>
      <c r="Z38" s="183">
        <v>0</v>
      </c>
      <c r="AA38" s="59" t="s">
        <v>18</v>
      </c>
      <c r="AB38" s="195">
        <f t="shared" si="7"/>
        <v>0</v>
      </c>
      <c r="AC38" s="196" t="s">
        <v>23</v>
      </c>
      <c r="AD38" s="183">
        <v>0</v>
      </c>
      <c r="AE38" s="59" t="s">
        <v>18</v>
      </c>
      <c r="AF38" s="195">
        <f t="shared" si="8"/>
        <v>0</v>
      </c>
      <c r="AG38" s="196" t="s">
        <v>23</v>
      </c>
      <c r="AH38" s="183">
        <v>0</v>
      </c>
      <c r="AI38" s="59" t="s">
        <v>18</v>
      </c>
      <c r="AJ38" s="195">
        <f t="shared" si="9"/>
        <v>0</v>
      </c>
      <c r="AK38" s="196" t="s">
        <v>23</v>
      </c>
      <c r="AL38" s="183">
        <v>0</v>
      </c>
      <c r="AM38" s="59" t="s">
        <v>18</v>
      </c>
      <c r="AN38" s="195">
        <f t="shared" si="10"/>
        <v>0</v>
      </c>
      <c r="AO38" s="196" t="s">
        <v>23</v>
      </c>
      <c r="AP38" s="183">
        <v>0</v>
      </c>
      <c r="AQ38" s="59" t="s">
        <v>18</v>
      </c>
      <c r="AR38" s="195">
        <f t="shared" si="11"/>
        <v>0</v>
      </c>
      <c r="AS38" s="196" t="s">
        <v>23</v>
      </c>
      <c r="AT38" s="183">
        <v>0</v>
      </c>
      <c r="AU38" s="59" t="s">
        <v>18</v>
      </c>
      <c r="AV38" s="195">
        <f t="shared" si="12"/>
        <v>0</v>
      </c>
      <c r="AW38" s="196" t="s">
        <v>23</v>
      </c>
      <c r="AX38" s="183">
        <v>0</v>
      </c>
      <c r="AY38" s="59" t="s">
        <v>18</v>
      </c>
      <c r="AZ38" s="195">
        <f t="shared" si="13"/>
        <v>0</v>
      </c>
      <c r="BA38" s="196" t="s">
        <v>23</v>
      </c>
      <c r="BB38" s="183">
        <v>0</v>
      </c>
      <c r="BC38" s="59" t="s">
        <v>18</v>
      </c>
      <c r="BD38" s="195">
        <f t="shared" si="14"/>
        <v>0</v>
      </c>
      <c r="BE38" s="196" t="s">
        <v>23</v>
      </c>
      <c r="BF38" s="183">
        <v>0</v>
      </c>
      <c r="BG38" s="59" t="s">
        <v>18</v>
      </c>
      <c r="BH38" s="195">
        <f t="shared" si="15"/>
        <v>0</v>
      </c>
      <c r="BI38" s="196" t="s">
        <v>23</v>
      </c>
      <c r="BJ38" s="183">
        <v>0</v>
      </c>
      <c r="BK38" s="59" t="s">
        <v>18</v>
      </c>
      <c r="BL38" s="195">
        <f t="shared" si="16"/>
        <v>0</v>
      </c>
      <c r="BM38" s="196" t="s">
        <v>23</v>
      </c>
      <c r="BN38" s="183">
        <v>0</v>
      </c>
      <c r="BO38" s="59" t="s">
        <v>18</v>
      </c>
      <c r="BP38" s="195">
        <f t="shared" si="17"/>
        <v>0</v>
      </c>
      <c r="BQ38" s="196" t="s">
        <v>23</v>
      </c>
      <c r="BR38" s="183">
        <v>0</v>
      </c>
      <c r="BS38" s="59" t="s">
        <v>18</v>
      </c>
      <c r="BT38" s="195">
        <f t="shared" si="18"/>
        <v>0</v>
      </c>
      <c r="BU38" s="196" t="s">
        <v>23</v>
      </c>
      <c r="BV38" s="183">
        <v>0</v>
      </c>
      <c r="BW38" s="59" t="s">
        <v>18</v>
      </c>
      <c r="BX38" s="195">
        <f t="shared" si="19"/>
        <v>0</v>
      </c>
      <c r="BY38" s="196" t="s">
        <v>23</v>
      </c>
      <c r="BZ38" s="183">
        <v>0</v>
      </c>
      <c r="CA38" s="59" t="s">
        <v>18</v>
      </c>
      <c r="CB38" s="195">
        <f t="shared" si="20"/>
        <v>0</v>
      </c>
      <c r="CC38" s="196" t="s">
        <v>23</v>
      </c>
    </row>
    <row r="39" spans="1:81" ht="14.25">
      <c r="A39" s="178" t="s">
        <v>10</v>
      </c>
      <c r="B39" s="183">
        <v>1</v>
      </c>
      <c r="C39" s="59" t="s">
        <v>18</v>
      </c>
      <c r="D39" s="270">
        <f t="shared" si="1"/>
        <v>0</v>
      </c>
      <c r="E39" s="196" t="s">
        <v>23</v>
      </c>
      <c r="F39" s="183">
        <v>0</v>
      </c>
      <c r="G39" s="59" t="s">
        <v>18</v>
      </c>
      <c r="H39" s="195">
        <f t="shared" si="2"/>
        <v>0</v>
      </c>
      <c r="I39" s="196" t="s">
        <v>23</v>
      </c>
      <c r="J39" s="183">
        <v>0</v>
      </c>
      <c r="K39" s="59" t="s">
        <v>18</v>
      </c>
      <c r="L39" s="195">
        <f t="shared" si="3"/>
        <v>0</v>
      </c>
      <c r="M39" s="196" t="s">
        <v>23</v>
      </c>
      <c r="N39" s="183">
        <v>0</v>
      </c>
      <c r="O39" s="59" t="s">
        <v>18</v>
      </c>
      <c r="P39" s="195">
        <f t="shared" si="4"/>
        <v>0</v>
      </c>
      <c r="Q39" s="196" t="s">
        <v>23</v>
      </c>
      <c r="R39" s="183">
        <v>0</v>
      </c>
      <c r="S39" s="59" t="s">
        <v>18</v>
      </c>
      <c r="T39" s="195">
        <f t="shared" si="5"/>
        <v>0</v>
      </c>
      <c r="U39" s="196" t="s">
        <v>23</v>
      </c>
      <c r="V39" s="183">
        <v>0</v>
      </c>
      <c r="W39" s="59" t="s">
        <v>18</v>
      </c>
      <c r="X39" s="195">
        <f t="shared" si="6"/>
        <v>0</v>
      </c>
      <c r="Y39" s="196" t="s">
        <v>23</v>
      </c>
      <c r="Z39" s="183">
        <v>0</v>
      </c>
      <c r="AA39" s="59" t="s">
        <v>18</v>
      </c>
      <c r="AB39" s="195">
        <f t="shared" si="7"/>
        <v>0</v>
      </c>
      <c r="AC39" s="196" t="s">
        <v>23</v>
      </c>
      <c r="AD39" s="183">
        <v>0</v>
      </c>
      <c r="AE39" s="59" t="s">
        <v>18</v>
      </c>
      <c r="AF39" s="195">
        <f t="shared" si="8"/>
        <v>0</v>
      </c>
      <c r="AG39" s="196" t="s">
        <v>23</v>
      </c>
      <c r="AH39" s="183">
        <v>0</v>
      </c>
      <c r="AI39" s="59" t="s">
        <v>18</v>
      </c>
      <c r="AJ39" s="195">
        <f t="shared" si="9"/>
        <v>0</v>
      </c>
      <c r="AK39" s="196" t="s">
        <v>23</v>
      </c>
      <c r="AL39" s="183">
        <v>0</v>
      </c>
      <c r="AM39" s="59" t="s">
        <v>18</v>
      </c>
      <c r="AN39" s="195">
        <f t="shared" si="10"/>
        <v>0</v>
      </c>
      <c r="AO39" s="196" t="s">
        <v>23</v>
      </c>
      <c r="AP39" s="183">
        <v>0</v>
      </c>
      <c r="AQ39" s="59" t="s">
        <v>18</v>
      </c>
      <c r="AR39" s="195">
        <f t="shared" si="11"/>
        <v>0</v>
      </c>
      <c r="AS39" s="196" t="s">
        <v>23</v>
      </c>
      <c r="AT39" s="183">
        <v>0</v>
      </c>
      <c r="AU39" s="59" t="s">
        <v>18</v>
      </c>
      <c r="AV39" s="195">
        <f t="shared" si="12"/>
        <v>0</v>
      </c>
      <c r="AW39" s="196" t="s">
        <v>23</v>
      </c>
      <c r="AX39" s="183">
        <v>0</v>
      </c>
      <c r="AY39" s="59" t="s">
        <v>18</v>
      </c>
      <c r="AZ39" s="195">
        <f t="shared" si="13"/>
        <v>0</v>
      </c>
      <c r="BA39" s="196" t="s">
        <v>23</v>
      </c>
      <c r="BB39" s="183">
        <v>0</v>
      </c>
      <c r="BC39" s="59" t="s">
        <v>18</v>
      </c>
      <c r="BD39" s="195">
        <f t="shared" si="14"/>
        <v>0</v>
      </c>
      <c r="BE39" s="196" t="s">
        <v>23</v>
      </c>
      <c r="BF39" s="183">
        <v>0</v>
      </c>
      <c r="BG39" s="59" t="s">
        <v>18</v>
      </c>
      <c r="BH39" s="195">
        <f t="shared" si="15"/>
        <v>0</v>
      </c>
      <c r="BI39" s="196" t="s">
        <v>23</v>
      </c>
      <c r="BJ39" s="183">
        <v>0</v>
      </c>
      <c r="BK39" s="59" t="s">
        <v>18</v>
      </c>
      <c r="BL39" s="195">
        <f t="shared" si="16"/>
        <v>0</v>
      </c>
      <c r="BM39" s="196" t="s">
        <v>23</v>
      </c>
      <c r="BN39" s="183">
        <v>0</v>
      </c>
      <c r="BO39" s="59" t="s">
        <v>18</v>
      </c>
      <c r="BP39" s="195">
        <f t="shared" si="17"/>
        <v>0</v>
      </c>
      <c r="BQ39" s="196" t="s">
        <v>23</v>
      </c>
      <c r="BR39" s="183">
        <v>0</v>
      </c>
      <c r="BS39" s="59" t="s">
        <v>18</v>
      </c>
      <c r="BT39" s="195">
        <f t="shared" si="18"/>
        <v>0</v>
      </c>
      <c r="BU39" s="196" t="s">
        <v>23</v>
      </c>
      <c r="BV39" s="183">
        <v>0</v>
      </c>
      <c r="BW39" s="59" t="s">
        <v>18</v>
      </c>
      <c r="BX39" s="195">
        <f t="shared" si="19"/>
        <v>0</v>
      </c>
      <c r="BY39" s="196" t="s">
        <v>23</v>
      </c>
      <c r="BZ39" s="183">
        <v>0</v>
      </c>
      <c r="CA39" s="59" t="s">
        <v>18</v>
      </c>
      <c r="CB39" s="195">
        <f t="shared" si="20"/>
        <v>0</v>
      </c>
      <c r="CC39" s="196" t="s">
        <v>23</v>
      </c>
    </row>
    <row r="40" spans="1:81" ht="14.25">
      <c r="A40" s="179" t="s">
        <v>72</v>
      </c>
      <c r="B40" s="183">
        <v>1</v>
      </c>
      <c r="C40" s="59" t="s">
        <v>18</v>
      </c>
      <c r="D40" s="270">
        <f t="shared" si="1"/>
        <v>0</v>
      </c>
      <c r="E40" s="196" t="s">
        <v>23</v>
      </c>
      <c r="F40" s="183">
        <v>0</v>
      </c>
      <c r="G40" s="59" t="s">
        <v>18</v>
      </c>
      <c r="H40" s="195">
        <f t="shared" si="2"/>
        <v>0</v>
      </c>
      <c r="I40" s="196" t="s">
        <v>23</v>
      </c>
      <c r="J40" s="183">
        <v>0</v>
      </c>
      <c r="K40" s="59" t="s">
        <v>18</v>
      </c>
      <c r="L40" s="195">
        <f t="shared" si="3"/>
        <v>0</v>
      </c>
      <c r="M40" s="196" t="s">
        <v>23</v>
      </c>
      <c r="N40" s="183">
        <v>0</v>
      </c>
      <c r="O40" s="59" t="s">
        <v>18</v>
      </c>
      <c r="P40" s="195">
        <f t="shared" si="4"/>
        <v>0</v>
      </c>
      <c r="Q40" s="196" t="s">
        <v>23</v>
      </c>
      <c r="R40" s="183">
        <v>0</v>
      </c>
      <c r="S40" s="59" t="s">
        <v>18</v>
      </c>
      <c r="T40" s="195">
        <f t="shared" si="5"/>
        <v>0</v>
      </c>
      <c r="U40" s="196" t="s">
        <v>23</v>
      </c>
      <c r="V40" s="183">
        <v>0</v>
      </c>
      <c r="W40" s="59" t="s">
        <v>18</v>
      </c>
      <c r="X40" s="195">
        <f t="shared" si="6"/>
        <v>0</v>
      </c>
      <c r="Y40" s="196" t="s">
        <v>23</v>
      </c>
      <c r="Z40" s="183">
        <v>0</v>
      </c>
      <c r="AA40" s="59" t="s">
        <v>18</v>
      </c>
      <c r="AB40" s="195">
        <f t="shared" si="7"/>
        <v>0</v>
      </c>
      <c r="AC40" s="196" t="s">
        <v>23</v>
      </c>
      <c r="AD40" s="183">
        <v>0</v>
      </c>
      <c r="AE40" s="59" t="s">
        <v>18</v>
      </c>
      <c r="AF40" s="195">
        <f t="shared" si="8"/>
        <v>0</v>
      </c>
      <c r="AG40" s="196" t="s">
        <v>23</v>
      </c>
      <c r="AH40" s="183">
        <v>0</v>
      </c>
      <c r="AI40" s="59" t="s">
        <v>18</v>
      </c>
      <c r="AJ40" s="195">
        <f t="shared" si="9"/>
        <v>0</v>
      </c>
      <c r="AK40" s="196" t="s">
        <v>23</v>
      </c>
      <c r="AL40" s="183">
        <v>0</v>
      </c>
      <c r="AM40" s="59" t="s">
        <v>18</v>
      </c>
      <c r="AN40" s="195">
        <f t="shared" si="10"/>
        <v>0</v>
      </c>
      <c r="AO40" s="196" t="s">
        <v>23</v>
      </c>
      <c r="AP40" s="183">
        <v>0</v>
      </c>
      <c r="AQ40" s="59" t="s">
        <v>18</v>
      </c>
      <c r="AR40" s="195">
        <f t="shared" si="11"/>
        <v>0</v>
      </c>
      <c r="AS40" s="196" t="s">
        <v>23</v>
      </c>
      <c r="AT40" s="183">
        <v>0</v>
      </c>
      <c r="AU40" s="59" t="s">
        <v>18</v>
      </c>
      <c r="AV40" s="195">
        <f t="shared" si="12"/>
        <v>0</v>
      </c>
      <c r="AW40" s="196" t="s">
        <v>23</v>
      </c>
      <c r="AX40" s="183">
        <v>0</v>
      </c>
      <c r="AY40" s="59" t="s">
        <v>18</v>
      </c>
      <c r="AZ40" s="195">
        <f t="shared" si="13"/>
        <v>0</v>
      </c>
      <c r="BA40" s="196" t="s">
        <v>23</v>
      </c>
      <c r="BB40" s="183">
        <v>0</v>
      </c>
      <c r="BC40" s="59" t="s">
        <v>18</v>
      </c>
      <c r="BD40" s="195">
        <f t="shared" si="14"/>
        <v>0</v>
      </c>
      <c r="BE40" s="196" t="s">
        <v>23</v>
      </c>
      <c r="BF40" s="183">
        <v>0</v>
      </c>
      <c r="BG40" s="59" t="s">
        <v>18</v>
      </c>
      <c r="BH40" s="195">
        <f t="shared" si="15"/>
        <v>0</v>
      </c>
      <c r="BI40" s="196" t="s">
        <v>23</v>
      </c>
      <c r="BJ40" s="183">
        <v>0</v>
      </c>
      <c r="BK40" s="59" t="s">
        <v>18</v>
      </c>
      <c r="BL40" s="195">
        <f t="shared" si="16"/>
        <v>0</v>
      </c>
      <c r="BM40" s="196" t="s">
        <v>23</v>
      </c>
      <c r="BN40" s="183">
        <v>0</v>
      </c>
      <c r="BO40" s="59" t="s">
        <v>18</v>
      </c>
      <c r="BP40" s="195">
        <f t="shared" si="17"/>
        <v>0</v>
      </c>
      <c r="BQ40" s="196" t="s">
        <v>23</v>
      </c>
      <c r="BR40" s="183">
        <v>0</v>
      </c>
      <c r="BS40" s="59" t="s">
        <v>18</v>
      </c>
      <c r="BT40" s="195">
        <f t="shared" si="18"/>
        <v>0</v>
      </c>
      <c r="BU40" s="196" t="s">
        <v>23</v>
      </c>
      <c r="BV40" s="183">
        <v>0</v>
      </c>
      <c r="BW40" s="59" t="s">
        <v>18</v>
      </c>
      <c r="BX40" s="195">
        <f t="shared" si="19"/>
        <v>0</v>
      </c>
      <c r="BY40" s="196" t="s">
        <v>23</v>
      </c>
      <c r="BZ40" s="183">
        <v>0</v>
      </c>
      <c r="CA40" s="59" t="s">
        <v>18</v>
      </c>
      <c r="CB40" s="195">
        <f t="shared" si="20"/>
        <v>0</v>
      </c>
      <c r="CC40" s="196" t="s">
        <v>23</v>
      </c>
    </row>
    <row r="41" spans="1:81" ht="14.25">
      <c r="A41" s="179" t="s">
        <v>73</v>
      </c>
      <c r="B41" s="183">
        <v>1</v>
      </c>
      <c r="C41" s="59" t="s">
        <v>18</v>
      </c>
      <c r="D41" s="270">
        <f t="shared" si="1"/>
        <v>0</v>
      </c>
      <c r="E41" s="196" t="s">
        <v>23</v>
      </c>
      <c r="F41" s="183">
        <v>0</v>
      </c>
      <c r="G41" s="59" t="s">
        <v>18</v>
      </c>
      <c r="H41" s="195">
        <f t="shared" si="2"/>
        <v>0</v>
      </c>
      <c r="I41" s="196" t="s">
        <v>23</v>
      </c>
      <c r="J41" s="183">
        <v>0</v>
      </c>
      <c r="K41" s="59" t="s">
        <v>18</v>
      </c>
      <c r="L41" s="195">
        <f t="shared" si="3"/>
        <v>0</v>
      </c>
      <c r="M41" s="196" t="s">
        <v>23</v>
      </c>
      <c r="N41" s="183">
        <v>0</v>
      </c>
      <c r="O41" s="59" t="s">
        <v>18</v>
      </c>
      <c r="P41" s="195">
        <f t="shared" si="4"/>
        <v>0</v>
      </c>
      <c r="Q41" s="196" t="s">
        <v>23</v>
      </c>
      <c r="R41" s="183">
        <v>0</v>
      </c>
      <c r="S41" s="59" t="s">
        <v>18</v>
      </c>
      <c r="T41" s="195">
        <f t="shared" si="5"/>
        <v>0</v>
      </c>
      <c r="U41" s="196" t="s">
        <v>23</v>
      </c>
      <c r="V41" s="183">
        <v>0</v>
      </c>
      <c r="W41" s="59" t="s">
        <v>18</v>
      </c>
      <c r="X41" s="195">
        <f t="shared" si="6"/>
        <v>0</v>
      </c>
      <c r="Y41" s="196" t="s">
        <v>23</v>
      </c>
      <c r="Z41" s="183">
        <v>0</v>
      </c>
      <c r="AA41" s="59" t="s">
        <v>18</v>
      </c>
      <c r="AB41" s="195">
        <f t="shared" si="7"/>
        <v>0</v>
      </c>
      <c r="AC41" s="196" t="s">
        <v>23</v>
      </c>
      <c r="AD41" s="183">
        <v>0</v>
      </c>
      <c r="AE41" s="59" t="s">
        <v>18</v>
      </c>
      <c r="AF41" s="195">
        <f t="shared" si="8"/>
        <v>0</v>
      </c>
      <c r="AG41" s="196" t="s">
        <v>23</v>
      </c>
      <c r="AH41" s="183">
        <v>0</v>
      </c>
      <c r="AI41" s="59" t="s">
        <v>18</v>
      </c>
      <c r="AJ41" s="195">
        <f t="shared" si="9"/>
        <v>0</v>
      </c>
      <c r="AK41" s="196" t="s">
        <v>23</v>
      </c>
      <c r="AL41" s="183">
        <v>0</v>
      </c>
      <c r="AM41" s="59" t="s">
        <v>18</v>
      </c>
      <c r="AN41" s="195">
        <f t="shared" si="10"/>
        <v>0</v>
      </c>
      <c r="AO41" s="196" t="s">
        <v>23</v>
      </c>
      <c r="AP41" s="183">
        <v>0</v>
      </c>
      <c r="AQ41" s="59" t="s">
        <v>18</v>
      </c>
      <c r="AR41" s="195">
        <f t="shared" si="11"/>
        <v>0</v>
      </c>
      <c r="AS41" s="196" t="s">
        <v>23</v>
      </c>
      <c r="AT41" s="183">
        <v>0</v>
      </c>
      <c r="AU41" s="59" t="s">
        <v>18</v>
      </c>
      <c r="AV41" s="195">
        <f t="shared" si="12"/>
        <v>0</v>
      </c>
      <c r="AW41" s="196" t="s">
        <v>23</v>
      </c>
      <c r="AX41" s="183">
        <v>0</v>
      </c>
      <c r="AY41" s="59" t="s">
        <v>18</v>
      </c>
      <c r="AZ41" s="195">
        <f t="shared" si="13"/>
        <v>0</v>
      </c>
      <c r="BA41" s="196" t="s">
        <v>23</v>
      </c>
      <c r="BB41" s="183">
        <v>0</v>
      </c>
      <c r="BC41" s="59" t="s">
        <v>18</v>
      </c>
      <c r="BD41" s="195">
        <f t="shared" si="14"/>
        <v>0</v>
      </c>
      <c r="BE41" s="196" t="s">
        <v>23</v>
      </c>
      <c r="BF41" s="183">
        <v>0</v>
      </c>
      <c r="BG41" s="59" t="s">
        <v>18</v>
      </c>
      <c r="BH41" s="195">
        <f t="shared" si="15"/>
        <v>0</v>
      </c>
      <c r="BI41" s="196" t="s">
        <v>23</v>
      </c>
      <c r="BJ41" s="183">
        <v>0</v>
      </c>
      <c r="BK41" s="59" t="s">
        <v>18</v>
      </c>
      <c r="BL41" s="195">
        <f t="shared" si="16"/>
        <v>0</v>
      </c>
      <c r="BM41" s="196" t="s">
        <v>23</v>
      </c>
      <c r="BN41" s="183">
        <v>0</v>
      </c>
      <c r="BO41" s="59" t="s">
        <v>18</v>
      </c>
      <c r="BP41" s="195">
        <f t="shared" si="17"/>
        <v>0</v>
      </c>
      <c r="BQ41" s="196" t="s">
        <v>23</v>
      </c>
      <c r="BR41" s="183">
        <v>0</v>
      </c>
      <c r="BS41" s="59" t="s">
        <v>18</v>
      </c>
      <c r="BT41" s="195">
        <f t="shared" si="18"/>
        <v>0</v>
      </c>
      <c r="BU41" s="196" t="s">
        <v>23</v>
      </c>
      <c r="BV41" s="183">
        <v>0</v>
      </c>
      <c r="BW41" s="59" t="s">
        <v>18</v>
      </c>
      <c r="BX41" s="195">
        <f t="shared" si="19"/>
        <v>0</v>
      </c>
      <c r="BY41" s="196" t="s">
        <v>23</v>
      </c>
      <c r="BZ41" s="183">
        <v>0</v>
      </c>
      <c r="CA41" s="59" t="s">
        <v>18</v>
      </c>
      <c r="CB41" s="195">
        <f t="shared" si="20"/>
        <v>0</v>
      </c>
      <c r="CC41" s="196" t="s">
        <v>23</v>
      </c>
    </row>
    <row r="42" spans="1:81" ht="14.25">
      <c r="A42" s="180" t="s">
        <v>74</v>
      </c>
      <c r="B42" s="183">
        <v>1</v>
      </c>
      <c r="C42" s="59" t="s">
        <v>18</v>
      </c>
      <c r="D42" s="270">
        <f t="shared" si="1"/>
        <v>0</v>
      </c>
      <c r="E42" s="196" t="s">
        <v>23</v>
      </c>
      <c r="F42" s="183">
        <v>0</v>
      </c>
      <c r="G42" s="59" t="s">
        <v>18</v>
      </c>
      <c r="H42" s="195">
        <f t="shared" si="2"/>
        <v>0</v>
      </c>
      <c r="I42" s="196" t="s">
        <v>23</v>
      </c>
      <c r="J42" s="183">
        <v>0</v>
      </c>
      <c r="K42" s="59" t="s">
        <v>18</v>
      </c>
      <c r="L42" s="195">
        <f t="shared" si="3"/>
        <v>0</v>
      </c>
      <c r="M42" s="196" t="s">
        <v>23</v>
      </c>
      <c r="N42" s="183">
        <v>0</v>
      </c>
      <c r="O42" s="59" t="s">
        <v>18</v>
      </c>
      <c r="P42" s="195">
        <f t="shared" si="4"/>
        <v>0</v>
      </c>
      <c r="Q42" s="196" t="s">
        <v>23</v>
      </c>
      <c r="R42" s="183">
        <v>0</v>
      </c>
      <c r="S42" s="59" t="s">
        <v>18</v>
      </c>
      <c r="T42" s="195">
        <f t="shared" si="5"/>
        <v>0</v>
      </c>
      <c r="U42" s="196" t="s">
        <v>23</v>
      </c>
      <c r="V42" s="183">
        <v>0</v>
      </c>
      <c r="W42" s="59" t="s">
        <v>18</v>
      </c>
      <c r="X42" s="195">
        <f t="shared" si="6"/>
        <v>0</v>
      </c>
      <c r="Y42" s="196" t="s">
        <v>23</v>
      </c>
      <c r="Z42" s="183">
        <v>0</v>
      </c>
      <c r="AA42" s="59" t="s">
        <v>18</v>
      </c>
      <c r="AB42" s="195">
        <f t="shared" si="7"/>
        <v>0</v>
      </c>
      <c r="AC42" s="196" t="s">
        <v>23</v>
      </c>
      <c r="AD42" s="183">
        <v>0</v>
      </c>
      <c r="AE42" s="59" t="s">
        <v>18</v>
      </c>
      <c r="AF42" s="195">
        <f t="shared" si="8"/>
        <v>0</v>
      </c>
      <c r="AG42" s="196" t="s">
        <v>23</v>
      </c>
      <c r="AH42" s="183">
        <v>0</v>
      </c>
      <c r="AI42" s="59" t="s">
        <v>18</v>
      </c>
      <c r="AJ42" s="195">
        <f t="shared" si="9"/>
        <v>0</v>
      </c>
      <c r="AK42" s="196" t="s">
        <v>23</v>
      </c>
      <c r="AL42" s="183">
        <v>0</v>
      </c>
      <c r="AM42" s="59" t="s">
        <v>18</v>
      </c>
      <c r="AN42" s="195">
        <f t="shared" si="10"/>
        <v>0</v>
      </c>
      <c r="AO42" s="196" t="s">
        <v>23</v>
      </c>
      <c r="AP42" s="183">
        <v>0</v>
      </c>
      <c r="AQ42" s="59" t="s">
        <v>18</v>
      </c>
      <c r="AR42" s="195">
        <f t="shared" si="11"/>
        <v>0</v>
      </c>
      <c r="AS42" s="196" t="s">
        <v>23</v>
      </c>
      <c r="AT42" s="183">
        <v>0</v>
      </c>
      <c r="AU42" s="59" t="s">
        <v>18</v>
      </c>
      <c r="AV42" s="195">
        <f t="shared" si="12"/>
        <v>0</v>
      </c>
      <c r="AW42" s="196" t="s">
        <v>23</v>
      </c>
      <c r="AX42" s="183">
        <v>0</v>
      </c>
      <c r="AY42" s="59" t="s">
        <v>18</v>
      </c>
      <c r="AZ42" s="195">
        <f t="shared" si="13"/>
        <v>0</v>
      </c>
      <c r="BA42" s="196" t="s">
        <v>23</v>
      </c>
      <c r="BB42" s="183">
        <v>0</v>
      </c>
      <c r="BC42" s="59" t="s">
        <v>18</v>
      </c>
      <c r="BD42" s="195">
        <f t="shared" si="14"/>
        <v>0</v>
      </c>
      <c r="BE42" s="196" t="s">
        <v>23</v>
      </c>
      <c r="BF42" s="183">
        <v>0</v>
      </c>
      <c r="BG42" s="59" t="s">
        <v>18</v>
      </c>
      <c r="BH42" s="195">
        <f t="shared" si="15"/>
        <v>0</v>
      </c>
      <c r="BI42" s="196" t="s">
        <v>23</v>
      </c>
      <c r="BJ42" s="183">
        <v>0</v>
      </c>
      <c r="BK42" s="59" t="s">
        <v>18</v>
      </c>
      <c r="BL42" s="195">
        <f t="shared" si="16"/>
        <v>0</v>
      </c>
      <c r="BM42" s="196" t="s">
        <v>23</v>
      </c>
      <c r="BN42" s="183">
        <v>0</v>
      </c>
      <c r="BO42" s="59" t="s">
        <v>18</v>
      </c>
      <c r="BP42" s="195">
        <f t="shared" si="17"/>
        <v>0</v>
      </c>
      <c r="BQ42" s="196" t="s">
        <v>23</v>
      </c>
      <c r="BR42" s="183">
        <v>0</v>
      </c>
      <c r="BS42" s="59" t="s">
        <v>18</v>
      </c>
      <c r="BT42" s="195">
        <f t="shared" si="18"/>
        <v>0</v>
      </c>
      <c r="BU42" s="196" t="s">
        <v>23</v>
      </c>
      <c r="BV42" s="183">
        <v>0</v>
      </c>
      <c r="BW42" s="59" t="s">
        <v>18</v>
      </c>
      <c r="BX42" s="195">
        <f t="shared" si="19"/>
        <v>0</v>
      </c>
      <c r="BY42" s="196" t="s">
        <v>23</v>
      </c>
      <c r="BZ42" s="183">
        <v>0</v>
      </c>
      <c r="CA42" s="59" t="s">
        <v>18</v>
      </c>
      <c r="CB42" s="195">
        <f t="shared" si="20"/>
        <v>0</v>
      </c>
      <c r="CC42" s="196" t="s">
        <v>23</v>
      </c>
    </row>
    <row r="43" spans="1:81" ht="14.25">
      <c r="A43" s="179" t="s">
        <v>75</v>
      </c>
      <c r="B43" s="183">
        <v>1</v>
      </c>
      <c r="C43" s="59" t="s">
        <v>18</v>
      </c>
      <c r="D43" s="270">
        <f t="shared" si="1"/>
        <v>0</v>
      </c>
      <c r="E43" s="196" t="s">
        <v>23</v>
      </c>
      <c r="F43" s="183">
        <v>0</v>
      </c>
      <c r="G43" s="59" t="s">
        <v>18</v>
      </c>
      <c r="H43" s="195">
        <f t="shared" si="2"/>
        <v>0</v>
      </c>
      <c r="I43" s="196" t="s">
        <v>23</v>
      </c>
      <c r="J43" s="183">
        <v>0</v>
      </c>
      <c r="K43" s="59" t="s">
        <v>18</v>
      </c>
      <c r="L43" s="195">
        <f t="shared" si="3"/>
        <v>0</v>
      </c>
      <c r="M43" s="196" t="s">
        <v>23</v>
      </c>
      <c r="N43" s="183">
        <v>0</v>
      </c>
      <c r="O43" s="59" t="s">
        <v>18</v>
      </c>
      <c r="P43" s="195">
        <f t="shared" si="4"/>
        <v>0</v>
      </c>
      <c r="Q43" s="196" t="s">
        <v>23</v>
      </c>
      <c r="R43" s="183">
        <v>0</v>
      </c>
      <c r="S43" s="59" t="s">
        <v>18</v>
      </c>
      <c r="T43" s="195">
        <f t="shared" si="5"/>
        <v>0</v>
      </c>
      <c r="U43" s="196" t="s">
        <v>23</v>
      </c>
      <c r="V43" s="183">
        <v>0</v>
      </c>
      <c r="W43" s="59" t="s">
        <v>18</v>
      </c>
      <c r="X43" s="195">
        <f t="shared" si="6"/>
        <v>0</v>
      </c>
      <c r="Y43" s="196" t="s">
        <v>23</v>
      </c>
      <c r="Z43" s="183">
        <v>0</v>
      </c>
      <c r="AA43" s="59" t="s">
        <v>18</v>
      </c>
      <c r="AB43" s="195">
        <f t="shared" si="7"/>
        <v>0</v>
      </c>
      <c r="AC43" s="196" t="s">
        <v>23</v>
      </c>
      <c r="AD43" s="183">
        <v>0</v>
      </c>
      <c r="AE43" s="59" t="s">
        <v>18</v>
      </c>
      <c r="AF43" s="195">
        <f t="shared" si="8"/>
        <v>0</v>
      </c>
      <c r="AG43" s="196" t="s">
        <v>23</v>
      </c>
      <c r="AH43" s="183">
        <v>0</v>
      </c>
      <c r="AI43" s="59" t="s">
        <v>18</v>
      </c>
      <c r="AJ43" s="195">
        <f t="shared" si="9"/>
        <v>0</v>
      </c>
      <c r="AK43" s="196" t="s">
        <v>23</v>
      </c>
      <c r="AL43" s="183">
        <v>0</v>
      </c>
      <c r="AM43" s="59" t="s">
        <v>18</v>
      </c>
      <c r="AN43" s="195">
        <f t="shared" si="10"/>
        <v>0</v>
      </c>
      <c r="AO43" s="196" t="s">
        <v>23</v>
      </c>
      <c r="AP43" s="183">
        <v>0</v>
      </c>
      <c r="AQ43" s="59" t="s">
        <v>18</v>
      </c>
      <c r="AR43" s="195">
        <f t="shared" si="11"/>
        <v>0</v>
      </c>
      <c r="AS43" s="196" t="s">
        <v>23</v>
      </c>
      <c r="AT43" s="183">
        <v>0</v>
      </c>
      <c r="AU43" s="59" t="s">
        <v>18</v>
      </c>
      <c r="AV43" s="195">
        <f t="shared" si="12"/>
        <v>0</v>
      </c>
      <c r="AW43" s="196" t="s">
        <v>23</v>
      </c>
      <c r="AX43" s="183">
        <v>0</v>
      </c>
      <c r="AY43" s="59" t="s">
        <v>18</v>
      </c>
      <c r="AZ43" s="195">
        <f t="shared" si="13"/>
        <v>0</v>
      </c>
      <c r="BA43" s="196" t="s">
        <v>23</v>
      </c>
      <c r="BB43" s="183">
        <v>0</v>
      </c>
      <c r="BC43" s="59" t="s">
        <v>18</v>
      </c>
      <c r="BD43" s="195">
        <f t="shared" si="14"/>
        <v>0</v>
      </c>
      <c r="BE43" s="196" t="s">
        <v>23</v>
      </c>
      <c r="BF43" s="183">
        <v>0</v>
      </c>
      <c r="BG43" s="59" t="s">
        <v>18</v>
      </c>
      <c r="BH43" s="195">
        <f t="shared" si="15"/>
        <v>0</v>
      </c>
      <c r="BI43" s="196" t="s">
        <v>23</v>
      </c>
      <c r="BJ43" s="183">
        <v>0</v>
      </c>
      <c r="BK43" s="59" t="s">
        <v>18</v>
      </c>
      <c r="BL43" s="195">
        <f t="shared" si="16"/>
        <v>0</v>
      </c>
      <c r="BM43" s="196" t="s">
        <v>23</v>
      </c>
      <c r="BN43" s="183">
        <v>0</v>
      </c>
      <c r="BO43" s="59" t="s">
        <v>18</v>
      </c>
      <c r="BP43" s="195">
        <f t="shared" si="17"/>
        <v>0</v>
      </c>
      <c r="BQ43" s="196" t="s">
        <v>23</v>
      </c>
      <c r="BR43" s="183">
        <v>0</v>
      </c>
      <c r="BS43" s="59" t="s">
        <v>18</v>
      </c>
      <c r="BT43" s="195">
        <f t="shared" si="18"/>
        <v>0</v>
      </c>
      <c r="BU43" s="196" t="s">
        <v>23</v>
      </c>
      <c r="BV43" s="183">
        <v>0</v>
      </c>
      <c r="BW43" s="59" t="s">
        <v>18</v>
      </c>
      <c r="BX43" s="195">
        <f t="shared" si="19"/>
        <v>0</v>
      </c>
      <c r="BY43" s="196" t="s">
        <v>23</v>
      </c>
      <c r="BZ43" s="183">
        <v>0</v>
      </c>
      <c r="CA43" s="59" t="s">
        <v>18</v>
      </c>
      <c r="CB43" s="195">
        <f t="shared" si="20"/>
        <v>0</v>
      </c>
      <c r="CC43" s="196" t="s">
        <v>23</v>
      </c>
    </row>
    <row r="44" spans="1:81" ht="14.25">
      <c r="A44" s="180" t="s">
        <v>78</v>
      </c>
      <c r="B44" s="183">
        <v>1</v>
      </c>
      <c r="C44" s="59" t="s">
        <v>18</v>
      </c>
      <c r="D44" s="270">
        <f t="shared" si="1"/>
        <v>0</v>
      </c>
      <c r="E44" s="196" t="s">
        <v>23</v>
      </c>
      <c r="F44" s="183">
        <v>0</v>
      </c>
      <c r="G44" s="59" t="s">
        <v>18</v>
      </c>
      <c r="H44" s="195">
        <f t="shared" si="2"/>
        <v>0</v>
      </c>
      <c r="I44" s="196" t="s">
        <v>23</v>
      </c>
      <c r="J44" s="183">
        <v>0</v>
      </c>
      <c r="K44" s="59" t="s">
        <v>18</v>
      </c>
      <c r="L44" s="195">
        <f t="shared" si="3"/>
        <v>0</v>
      </c>
      <c r="M44" s="196" t="s">
        <v>23</v>
      </c>
      <c r="N44" s="183">
        <v>0</v>
      </c>
      <c r="O44" s="59" t="s">
        <v>18</v>
      </c>
      <c r="P44" s="195">
        <f t="shared" si="4"/>
        <v>0</v>
      </c>
      <c r="Q44" s="196" t="s">
        <v>23</v>
      </c>
      <c r="R44" s="183">
        <v>0</v>
      </c>
      <c r="S44" s="59" t="s">
        <v>18</v>
      </c>
      <c r="T44" s="195">
        <f t="shared" si="5"/>
        <v>0</v>
      </c>
      <c r="U44" s="196" t="s">
        <v>23</v>
      </c>
      <c r="V44" s="183">
        <v>0</v>
      </c>
      <c r="W44" s="59" t="s">
        <v>18</v>
      </c>
      <c r="X44" s="195">
        <f t="shared" si="6"/>
        <v>0</v>
      </c>
      <c r="Y44" s="196" t="s">
        <v>23</v>
      </c>
      <c r="Z44" s="183">
        <v>0</v>
      </c>
      <c r="AA44" s="59" t="s">
        <v>18</v>
      </c>
      <c r="AB44" s="195">
        <f t="shared" si="7"/>
        <v>0</v>
      </c>
      <c r="AC44" s="196" t="s">
        <v>23</v>
      </c>
      <c r="AD44" s="183">
        <v>0</v>
      </c>
      <c r="AE44" s="59" t="s">
        <v>18</v>
      </c>
      <c r="AF44" s="195">
        <f t="shared" si="8"/>
        <v>0</v>
      </c>
      <c r="AG44" s="196" t="s">
        <v>23</v>
      </c>
      <c r="AH44" s="183">
        <v>0</v>
      </c>
      <c r="AI44" s="59" t="s">
        <v>18</v>
      </c>
      <c r="AJ44" s="195">
        <f t="shared" si="9"/>
        <v>0</v>
      </c>
      <c r="AK44" s="196" t="s">
        <v>23</v>
      </c>
      <c r="AL44" s="183">
        <v>0</v>
      </c>
      <c r="AM44" s="59" t="s">
        <v>18</v>
      </c>
      <c r="AN44" s="195">
        <f t="shared" si="10"/>
        <v>0</v>
      </c>
      <c r="AO44" s="196" t="s">
        <v>23</v>
      </c>
      <c r="AP44" s="183">
        <v>0</v>
      </c>
      <c r="AQ44" s="59" t="s">
        <v>18</v>
      </c>
      <c r="AR44" s="195">
        <f t="shared" si="11"/>
        <v>0</v>
      </c>
      <c r="AS44" s="196" t="s">
        <v>23</v>
      </c>
      <c r="AT44" s="183">
        <v>0</v>
      </c>
      <c r="AU44" s="59" t="s">
        <v>18</v>
      </c>
      <c r="AV44" s="195">
        <f t="shared" si="12"/>
        <v>0</v>
      </c>
      <c r="AW44" s="196" t="s">
        <v>23</v>
      </c>
      <c r="AX44" s="183">
        <v>0</v>
      </c>
      <c r="AY44" s="59" t="s">
        <v>18</v>
      </c>
      <c r="AZ44" s="195">
        <f t="shared" si="13"/>
        <v>0</v>
      </c>
      <c r="BA44" s="196" t="s">
        <v>23</v>
      </c>
      <c r="BB44" s="183">
        <v>0</v>
      </c>
      <c r="BC44" s="59" t="s">
        <v>18</v>
      </c>
      <c r="BD44" s="195">
        <f t="shared" si="14"/>
        <v>0</v>
      </c>
      <c r="BE44" s="196" t="s">
        <v>23</v>
      </c>
      <c r="BF44" s="183">
        <v>0</v>
      </c>
      <c r="BG44" s="59" t="s">
        <v>18</v>
      </c>
      <c r="BH44" s="195">
        <f t="shared" si="15"/>
        <v>0</v>
      </c>
      <c r="BI44" s="196" t="s">
        <v>23</v>
      </c>
      <c r="BJ44" s="183">
        <v>0</v>
      </c>
      <c r="BK44" s="59" t="s">
        <v>18</v>
      </c>
      <c r="BL44" s="195">
        <f t="shared" si="16"/>
        <v>0</v>
      </c>
      <c r="BM44" s="196" t="s">
        <v>23</v>
      </c>
      <c r="BN44" s="183">
        <v>0</v>
      </c>
      <c r="BO44" s="59" t="s">
        <v>18</v>
      </c>
      <c r="BP44" s="195">
        <f t="shared" si="17"/>
        <v>0</v>
      </c>
      <c r="BQ44" s="196" t="s">
        <v>23</v>
      </c>
      <c r="BR44" s="183">
        <v>0</v>
      </c>
      <c r="BS44" s="59" t="s">
        <v>18</v>
      </c>
      <c r="BT44" s="195">
        <f t="shared" si="18"/>
        <v>0</v>
      </c>
      <c r="BU44" s="196" t="s">
        <v>23</v>
      </c>
      <c r="BV44" s="183">
        <v>0</v>
      </c>
      <c r="BW44" s="59" t="s">
        <v>18</v>
      </c>
      <c r="BX44" s="195">
        <f t="shared" si="19"/>
        <v>0</v>
      </c>
      <c r="BY44" s="196" t="s">
        <v>23</v>
      </c>
      <c r="BZ44" s="183">
        <v>0</v>
      </c>
      <c r="CA44" s="59" t="s">
        <v>18</v>
      </c>
      <c r="CB44" s="195">
        <f t="shared" si="20"/>
        <v>0</v>
      </c>
      <c r="CC44" s="196" t="s">
        <v>23</v>
      </c>
    </row>
    <row r="45" spans="1:81" ht="14.25">
      <c r="A45" s="175" t="s">
        <v>14</v>
      </c>
      <c r="B45" s="183">
        <v>1</v>
      </c>
      <c r="C45" s="59" t="s">
        <v>18</v>
      </c>
      <c r="D45" s="270">
        <f t="shared" si="1"/>
        <v>0</v>
      </c>
      <c r="E45" s="196" t="s">
        <v>23</v>
      </c>
      <c r="F45" s="183">
        <v>0</v>
      </c>
      <c r="G45" s="59" t="s">
        <v>18</v>
      </c>
      <c r="H45" s="195">
        <f t="shared" si="2"/>
        <v>0</v>
      </c>
      <c r="I45" s="196" t="s">
        <v>23</v>
      </c>
      <c r="J45" s="183">
        <v>0</v>
      </c>
      <c r="K45" s="59" t="s">
        <v>18</v>
      </c>
      <c r="L45" s="195">
        <f t="shared" si="3"/>
        <v>0</v>
      </c>
      <c r="M45" s="196" t="s">
        <v>23</v>
      </c>
      <c r="N45" s="183">
        <v>0</v>
      </c>
      <c r="O45" s="59" t="s">
        <v>18</v>
      </c>
      <c r="P45" s="195">
        <f t="shared" si="4"/>
        <v>0</v>
      </c>
      <c r="Q45" s="196" t="s">
        <v>23</v>
      </c>
      <c r="R45" s="183">
        <v>0</v>
      </c>
      <c r="S45" s="59" t="s">
        <v>18</v>
      </c>
      <c r="T45" s="195">
        <f t="shared" si="5"/>
        <v>0</v>
      </c>
      <c r="U45" s="196" t="s">
        <v>23</v>
      </c>
      <c r="V45" s="183">
        <v>0</v>
      </c>
      <c r="W45" s="59" t="s">
        <v>18</v>
      </c>
      <c r="X45" s="195">
        <f t="shared" si="6"/>
        <v>0</v>
      </c>
      <c r="Y45" s="196" t="s">
        <v>23</v>
      </c>
      <c r="Z45" s="183">
        <v>0</v>
      </c>
      <c r="AA45" s="59" t="s">
        <v>18</v>
      </c>
      <c r="AB45" s="195">
        <f t="shared" si="7"/>
        <v>0</v>
      </c>
      <c r="AC45" s="196" t="s">
        <v>23</v>
      </c>
      <c r="AD45" s="183">
        <v>0</v>
      </c>
      <c r="AE45" s="59" t="s">
        <v>18</v>
      </c>
      <c r="AF45" s="195">
        <f t="shared" si="8"/>
        <v>0</v>
      </c>
      <c r="AG45" s="196" t="s">
        <v>23</v>
      </c>
      <c r="AH45" s="183">
        <v>0</v>
      </c>
      <c r="AI45" s="59" t="s">
        <v>18</v>
      </c>
      <c r="AJ45" s="195">
        <f t="shared" si="9"/>
        <v>0</v>
      </c>
      <c r="AK45" s="196" t="s">
        <v>23</v>
      </c>
      <c r="AL45" s="183">
        <v>0</v>
      </c>
      <c r="AM45" s="59" t="s">
        <v>18</v>
      </c>
      <c r="AN45" s="195">
        <f t="shared" si="10"/>
        <v>0</v>
      </c>
      <c r="AO45" s="196" t="s">
        <v>23</v>
      </c>
      <c r="AP45" s="183">
        <v>0</v>
      </c>
      <c r="AQ45" s="59" t="s">
        <v>18</v>
      </c>
      <c r="AR45" s="195">
        <f t="shared" si="11"/>
        <v>0</v>
      </c>
      <c r="AS45" s="196" t="s">
        <v>23</v>
      </c>
      <c r="AT45" s="183">
        <v>0</v>
      </c>
      <c r="AU45" s="59" t="s">
        <v>18</v>
      </c>
      <c r="AV45" s="195">
        <f t="shared" si="12"/>
        <v>0</v>
      </c>
      <c r="AW45" s="196" t="s">
        <v>23</v>
      </c>
      <c r="AX45" s="183">
        <v>0</v>
      </c>
      <c r="AY45" s="59" t="s">
        <v>18</v>
      </c>
      <c r="AZ45" s="195">
        <f t="shared" si="13"/>
        <v>0</v>
      </c>
      <c r="BA45" s="196" t="s">
        <v>23</v>
      </c>
      <c r="BB45" s="183">
        <v>0</v>
      </c>
      <c r="BC45" s="59" t="s">
        <v>18</v>
      </c>
      <c r="BD45" s="195">
        <f t="shared" si="14"/>
        <v>0</v>
      </c>
      <c r="BE45" s="196" t="s">
        <v>23</v>
      </c>
      <c r="BF45" s="183">
        <v>0</v>
      </c>
      <c r="BG45" s="59" t="s">
        <v>18</v>
      </c>
      <c r="BH45" s="195">
        <f t="shared" si="15"/>
        <v>0</v>
      </c>
      <c r="BI45" s="196" t="s">
        <v>23</v>
      </c>
      <c r="BJ45" s="183">
        <v>0</v>
      </c>
      <c r="BK45" s="59" t="s">
        <v>18</v>
      </c>
      <c r="BL45" s="195">
        <f t="shared" si="16"/>
        <v>0</v>
      </c>
      <c r="BM45" s="196" t="s">
        <v>23</v>
      </c>
      <c r="BN45" s="183">
        <v>0</v>
      </c>
      <c r="BO45" s="59" t="s">
        <v>18</v>
      </c>
      <c r="BP45" s="195">
        <f t="shared" si="17"/>
        <v>0</v>
      </c>
      <c r="BQ45" s="196" t="s">
        <v>23</v>
      </c>
      <c r="BR45" s="183">
        <v>0</v>
      </c>
      <c r="BS45" s="59" t="s">
        <v>18</v>
      </c>
      <c r="BT45" s="195">
        <f t="shared" si="18"/>
        <v>0</v>
      </c>
      <c r="BU45" s="196" t="s">
        <v>23</v>
      </c>
      <c r="BV45" s="183">
        <v>0</v>
      </c>
      <c r="BW45" s="59" t="s">
        <v>18</v>
      </c>
      <c r="BX45" s="195">
        <f t="shared" si="19"/>
        <v>0</v>
      </c>
      <c r="BY45" s="196" t="s">
        <v>23</v>
      </c>
      <c r="BZ45" s="183">
        <v>0</v>
      </c>
      <c r="CA45" s="59" t="s">
        <v>18</v>
      </c>
      <c r="CB45" s="195">
        <f t="shared" si="20"/>
        <v>0</v>
      </c>
      <c r="CC45" s="196" t="s">
        <v>23</v>
      </c>
    </row>
    <row r="46" spans="1:81" ht="14.25">
      <c r="A46" s="175" t="s">
        <v>79</v>
      </c>
      <c r="B46" s="183">
        <v>1</v>
      </c>
      <c r="C46" s="59" t="s">
        <v>18</v>
      </c>
      <c r="D46" s="270">
        <f t="shared" si="1"/>
        <v>0</v>
      </c>
      <c r="E46" s="196" t="s">
        <v>23</v>
      </c>
      <c r="F46" s="183">
        <v>0</v>
      </c>
      <c r="G46" s="59" t="s">
        <v>18</v>
      </c>
      <c r="H46" s="195">
        <f t="shared" si="2"/>
        <v>0</v>
      </c>
      <c r="I46" s="196" t="s">
        <v>23</v>
      </c>
      <c r="J46" s="183">
        <v>0</v>
      </c>
      <c r="K46" s="59" t="s">
        <v>18</v>
      </c>
      <c r="L46" s="195">
        <f t="shared" si="3"/>
        <v>0</v>
      </c>
      <c r="M46" s="196" t="s">
        <v>23</v>
      </c>
      <c r="N46" s="183">
        <v>0</v>
      </c>
      <c r="O46" s="59" t="s">
        <v>18</v>
      </c>
      <c r="P46" s="195">
        <f t="shared" si="4"/>
        <v>0</v>
      </c>
      <c r="Q46" s="196" t="s">
        <v>23</v>
      </c>
      <c r="R46" s="183">
        <v>0</v>
      </c>
      <c r="S46" s="59" t="s">
        <v>18</v>
      </c>
      <c r="T46" s="195">
        <f t="shared" si="5"/>
        <v>0</v>
      </c>
      <c r="U46" s="196" t="s">
        <v>23</v>
      </c>
      <c r="V46" s="183">
        <v>0</v>
      </c>
      <c r="W46" s="59" t="s">
        <v>18</v>
      </c>
      <c r="X46" s="195">
        <f t="shared" si="6"/>
        <v>0</v>
      </c>
      <c r="Y46" s="196" t="s">
        <v>23</v>
      </c>
      <c r="Z46" s="183">
        <v>0</v>
      </c>
      <c r="AA46" s="59" t="s">
        <v>18</v>
      </c>
      <c r="AB46" s="195">
        <f t="shared" si="7"/>
        <v>0</v>
      </c>
      <c r="AC46" s="196" t="s">
        <v>23</v>
      </c>
      <c r="AD46" s="183">
        <v>0</v>
      </c>
      <c r="AE46" s="59" t="s">
        <v>18</v>
      </c>
      <c r="AF46" s="195">
        <f t="shared" si="8"/>
        <v>0</v>
      </c>
      <c r="AG46" s="196" t="s">
        <v>23</v>
      </c>
      <c r="AH46" s="183">
        <v>0</v>
      </c>
      <c r="AI46" s="59" t="s">
        <v>18</v>
      </c>
      <c r="AJ46" s="195">
        <f t="shared" si="9"/>
        <v>0</v>
      </c>
      <c r="AK46" s="196" t="s">
        <v>23</v>
      </c>
      <c r="AL46" s="183">
        <v>0</v>
      </c>
      <c r="AM46" s="59" t="s">
        <v>18</v>
      </c>
      <c r="AN46" s="195">
        <f t="shared" si="10"/>
        <v>0</v>
      </c>
      <c r="AO46" s="196" t="s">
        <v>23</v>
      </c>
      <c r="AP46" s="183">
        <v>0</v>
      </c>
      <c r="AQ46" s="59" t="s">
        <v>18</v>
      </c>
      <c r="AR46" s="195">
        <f t="shared" si="11"/>
        <v>0</v>
      </c>
      <c r="AS46" s="196" t="s">
        <v>23</v>
      </c>
      <c r="AT46" s="183">
        <v>0</v>
      </c>
      <c r="AU46" s="59" t="s">
        <v>18</v>
      </c>
      <c r="AV46" s="195">
        <f t="shared" si="12"/>
        <v>0</v>
      </c>
      <c r="AW46" s="196" t="s">
        <v>23</v>
      </c>
      <c r="AX46" s="183">
        <v>0</v>
      </c>
      <c r="AY46" s="59" t="s">
        <v>18</v>
      </c>
      <c r="AZ46" s="195">
        <f t="shared" si="13"/>
        <v>0</v>
      </c>
      <c r="BA46" s="196" t="s">
        <v>23</v>
      </c>
      <c r="BB46" s="183">
        <v>0</v>
      </c>
      <c r="BC46" s="59" t="s">
        <v>18</v>
      </c>
      <c r="BD46" s="195">
        <f t="shared" si="14"/>
        <v>0</v>
      </c>
      <c r="BE46" s="196" t="s">
        <v>23</v>
      </c>
      <c r="BF46" s="183">
        <v>0</v>
      </c>
      <c r="BG46" s="59" t="s">
        <v>18</v>
      </c>
      <c r="BH46" s="195">
        <f t="shared" si="15"/>
        <v>0</v>
      </c>
      <c r="BI46" s="196" t="s">
        <v>23</v>
      </c>
      <c r="BJ46" s="183">
        <v>0</v>
      </c>
      <c r="BK46" s="59" t="s">
        <v>18</v>
      </c>
      <c r="BL46" s="195">
        <f t="shared" si="16"/>
        <v>0</v>
      </c>
      <c r="BM46" s="196" t="s">
        <v>23</v>
      </c>
      <c r="BN46" s="183">
        <v>0</v>
      </c>
      <c r="BO46" s="59" t="s">
        <v>18</v>
      </c>
      <c r="BP46" s="195">
        <f t="shared" si="17"/>
        <v>0</v>
      </c>
      <c r="BQ46" s="196" t="s">
        <v>23</v>
      </c>
      <c r="BR46" s="183">
        <v>0</v>
      </c>
      <c r="BS46" s="59" t="s">
        <v>18</v>
      </c>
      <c r="BT46" s="195">
        <f t="shared" si="18"/>
        <v>0</v>
      </c>
      <c r="BU46" s="196" t="s">
        <v>23</v>
      </c>
      <c r="BV46" s="183">
        <v>0</v>
      </c>
      <c r="BW46" s="59" t="s">
        <v>18</v>
      </c>
      <c r="BX46" s="195">
        <f t="shared" si="19"/>
        <v>0</v>
      </c>
      <c r="BY46" s="196" t="s">
        <v>23</v>
      </c>
      <c r="BZ46" s="183">
        <v>0</v>
      </c>
      <c r="CA46" s="59" t="s">
        <v>18</v>
      </c>
      <c r="CB46" s="195">
        <f t="shared" si="20"/>
        <v>0</v>
      </c>
      <c r="CC46" s="196" t="s">
        <v>23</v>
      </c>
    </row>
    <row r="47" spans="1:81" ht="14.25">
      <c r="A47" s="175" t="s">
        <v>15</v>
      </c>
      <c r="B47" s="183">
        <v>1</v>
      </c>
      <c r="C47" s="59" t="s">
        <v>18</v>
      </c>
      <c r="D47" s="270">
        <f t="shared" si="1"/>
        <v>0</v>
      </c>
      <c r="E47" s="196" t="s">
        <v>23</v>
      </c>
      <c r="F47" s="183">
        <v>0</v>
      </c>
      <c r="G47" s="59" t="s">
        <v>18</v>
      </c>
      <c r="H47" s="195">
        <f t="shared" si="2"/>
        <v>0</v>
      </c>
      <c r="I47" s="196" t="s">
        <v>23</v>
      </c>
      <c r="J47" s="183">
        <v>0</v>
      </c>
      <c r="K47" s="59" t="s">
        <v>18</v>
      </c>
      <c r="L47" s="195">
        <f t="shared" si="3"/>
        <v>0</v>
      </c>
      <c r="M47" s="196" t="s">
        <v>23</v>
      </c>
      <c r="N47" s="183">
        <v>0</v>
      </c>
      <c r="O47" s="59" t="s">
        <v>18</v>
      </c>
      <c r="P47" s="195">
        <f t="shared" si="4"/>
        <v>0</v>
      </c>
      <c r="Q47" s="196" t="s">
        <v>23</v>
      </c>
      <c r="R47" s="183">
        <v>0</v>
      </c>
      <c r="S47" s="59" t="s">
        <v>18</v>
      </c>
      <c r="T47" s="195">
        <f t="shared" si="5"/>
        <v>0</v>
      </c>
      <c r="U47" s="196" t="s">
        <v>23</v>
      </c>
      <c r="V47" s="183">
        <v>0</v>
      </c>
      <c r="W47" s="59" t="s">
        <v>18</v>
      </c>
      <c r="X47" s="195">
        <f t="shared" si="6"/>
        <v>0</v>
      </c>
      <c r="Y47" s="196" t="s">
        <v>23</v>
      </c>
      <c r="Z47" s="183">
        <v>0</v>
      </c>
      <c r="AA47" s="59" t="s">
        <v>18</v>
      </c>
      <c r="AB47" s="195">
        <f t="shared" si="7"/>
        <v>0</v>
      </c>
      <c r="AC47" s="196" t="s">
        <v>23</v>
      </c>
      <c r="AD47" s="183">
        <v>0</v>
      </c>
      <c r="AE47" s="59" t="s">
        <v>18</v>
      </c>
      <c r="AF47" s="195">
        <f t="shared" si="8"/>
        <v>0</v>
      </c>
      <c r="AG47" s="196" t="s">
        <v>23</v>
      </c>
      <c r="AH47" s="183">
        <v>0</v>
      </c>
      <c r="AI47" s="59" t="s">
        <v>18</v>
      </c>
      <c r="AJ47" s="195">
        <f t="shared" si="9"/>
        <v>0</v>
      </c>
      <c r="AK47" s="196" t="s">
        <v>23</v>
      </c>
      <c r="AL47" s="183">
        <v>0</v>
      </c>
      <c r="AM47" s="59" t="s">
        <v>18</v>
      </c>
      <c r="AN47" s="195">
        <f t="shared" si="10"/>
        <v>0</v>
      </c>
      <c r="AO47" s="196" t="s">
        <v>23</v>
      </c>
      <c r="AP47" s="183">
        <v>0</v>
      </c>
      <c r="AQ47" s="59" t="s">
        <v>18</v>
      </c>
      <c r="AR47" s="195">
        <f t="shared" si="11"/>
        <v>0</v>
      </c>
      <c r="AS47" s="196" t="s">
        <v>23</v>
      </c>
      <c r="AT47" s="183">
        <v>0</v>
      </c>
      <c r="AU47" s="59" t="s">
        <v>18</v>
      </c>
      <c r="AV47" s="195">
        <f t="shared" si="12"/>
        <v>0</v>
      </c>
      <c r="AW47" s="196" t="s">
        <v>23</v>
      </c>
      <c r="AX47" s="183">
        <v>0</v>
      </c>
      <c r="AY47" s="59" t="s">
        <v>18</v>
      </c>
      <c r="AZ47" s="195">
        <f t="shared" si="13"/>
        <v>0</v>
      </c>
      <c r="BA47" s="196" t="s">
        <v>23</v>
      </c>
      <c r="BB47" s="183">
        <v>0</v>
      </c>
      <c r="BC47" s="59" t="s">
        <v>18</v>
      </c>
      <c r="BD47" s="195">
        <f t="shared" si="14"/>
        <v>0</v>
      </c>
      <c r="BE47" s="196" t="s">
        <v>23</v>
      </c>
      <c r="BF47" s="183">
        <v>0</v>
      </c>
      <c r="BG47" s="59" t="s">
        <v>18</v>
      </c>
      <c r="BH47" s="195">
        <f t="shared" si="15"/>
        <v>0</v>
      </c>
      <c r="BI47" s="196" t="s">
        <v>23</v>
      </c>
      <c r="BJ47" s="183">
        <v>0</v>
      </c>
      <c r="BK47" s="59" t="s">
        <v>18</v>
      </c>
      <c r="BL47" s="195">
        <f t="shared" si="16"/>
        <v>0</v>
      </c>
      <c r="BM47" s="196" t="s">
        <v>23</v>
      </c>
      <c r="BN47" s="183">
        <v>0</v>
      </c>
      <c r="BO47" s="59" t="s">
        <v>18</v>
      </c>
      <c r="BP47" s="195">
        <f t="shared" si="17"/>
        <v>0</v>
      </c>
      <c r="BQ47" s="196" t="s">
        <v>23</v>
      </c>
      <c r="BR47" s="183">
        <v>0</v>
      </c>
      <c r="BS47" s="59" t="s">
        <v>18</v>
      </c>
      <c r="BT47" s="195">
        <f t="shared" si="18"/>
        <v>0</v>
      </c>
      <c r="BU47" s="196" t="s">
        <v>23</v>
      </c>
      <c r="BV47" s="183">
        <v>0</v>
      </c>
      <c r="BW47" s="59" t="s">
        <v>18</v>
      </c>
      <c r="BX47" s="195">
        <f t="shared" si="19"/>
        <v>0</v>
      </c>
      <c r="BY47" s="196" t="s">
        <v>23</v>
      </c>
      <c r="BZ47" s="183">
        <v>0</v>
      </c>
      <c r="CA47" s="59" t="s">
        <v>18</v>
      </c>
      <c r="CB47" s="195">
        <f t="shared" si="20"/>
        <v>0</v>
      </c>
      <c r="CC47" s="196" t="s">
        <v>23</v>
      </c>
    </row>
    <row r="48" spans="1:81" ht="14.25">
      <c r="A48" s="175" t="s">
        <v>80</v>
      </c>
      <c r="B48" s="183">
        <v>1</v>
      </c>
      <c r="C48" s="59" t="s">
        <v>18</v>
      </c>
      <c r="D48" s="270">
        <f t="shared" si="1"/>
        <v>0</v>
      </c>
      <c r="E48" s="196" t="s">
        <v>23</v>
      </c>
      <c r="F48" s="183">
        <v>0</v>
      </c>
      <c r="G48" s="59" t="s">
        <v>18</v>
      </c>
      <c r="H48" s="195">
        <f t="shared" si="2"/>
        <v>0</v>
      </c>
      <c r="I48" s="196" t="s">
        <v>23</v>
      </c>
      <c r="J48" s="183">
        <v>0</v>
      </c>
      <c r="K48" s="59" t="s">
        <v>18</v>
      </c>
      <c r="L48" s="195">
        <f t="shared" si="3"/>
        <v>0</v>
      </c>
      <c r="M48" s="196" t="s">
        <v>23</v>
      </c>
      <c r="N48" s="183">
        <v>0</v>
      </c>
      <c r="O48" s="59" t="s">
        <v>18</v>
      </c>
      <c r="P48" s="195">
        <f t="shared" si="4"/>
        <v>0</v>
      </c>
      <c r="Q48" s="196" t="s">
        <v>23</v>
      </c>
      <c r="R48" s="183">
        <v>0</v>
      </c>
      <c r="S48" s="59" t="s">
        <v>18</v>
      </c>
      <c r="T48" s="195">
        <f t="shared" si="5"/>
        <v>0</v>
      </c>
      <c r="U48" s="196" t="s">
        <v>23</v>
      </c>
      <c r="V48" s="183">
        <v>0</v>
      </c>
      <c r="W48" s="59" t="s">
        <v>18</v>
      </c>
      <c r="X48" s="195">
        <f t="shared" si="6"/>
        <v>0</v>
      </c>
      <c r="Y48" s="196" t="s">
        <v>23</v>
      </c>
      <c r="Z48" s="183">
        <v>0</v>
      </c>
      <c r="AA48" s="59" t="s">
        <v>18</v>
      </c>
      <c r="AB48" s="195">
        <f t="shared" si="7"/>
        <v>0</v>
      </c>
      <c r="AC48" s="196" t="s">
        <v>23</v>
      </c>
      <c r="AD48" s="183">
        <v>0</v>
      </c>
      <c r="AE48" s="59" t="s">
        <v>18</v>
      </c>
      <c r="AF48" s="195">
        <f t="shared" si="8"/>
        <v>0</v>
      </c>
      <c r="AG48" s="196" t="s">
        <v>23</v>
      </c>
      <c r="AH48" s="183">
        <v>0</v>
      </c>
      <c r="AI48" s="59" t="s">
        <v>18</v>
      </c>
      <c r="AJ48" s="195">
        <f t="shared" si="9"/>
        <v>0</v>
      </c>
      <c r="AK48" s="196" t="s">
        <v>23</v>
      </c>
      <c r="AL48" s="183">
        <v>0</v>
      </c>
      <c r="AM48" s="59" t="s">
        <v>18</v>
      </c>
      <c r="AN48" s="195">
        <f t="shared" si="10"/>
        <v>0</v>
      </c>
      <c r="AO48" s="196" t="s">
        <v>23</v>
      </c>
      <c r="AP48" s="183">
        <v>0</v>
      </c>
      <c r="AQ48" s="59" t="s">
        <v>18</v>
      </c>
      <c r="AR48" s="195">
        <f t="shared" si="11"/>
        <v>0</v>
      </c>
      <c r="AS48" s="196" t="s">
        <v>23</v>
      </c>
      <c r="AT48" s="183">
        <v>0</v>
      </c>
      <c r="AU48" s="59" t="s">
        <v>18</v>
      </c>
      <c r="AV48" s="195">
        <f t="shared" si="12"/>
        <v>0</v>
      </c>
      <c r="AW48" s="196" t="s">
        <v>23</v>
      </c>
      <c r="AX48" s="183">
        <v>0</v>
      </c>
      <c r="AY48" s="59" t="s">
        <v>18</v>
      </c>
      <c r="AZ48" s="195">
        <f t="shared" si="13"/>
        <v>0</v>
      </c>
      <c r="BA48" s="196" t="s">
        <v>23</v>
      </c>
      <c r="BB48" s="183">
        <v>0</v>
      </c>
      <c r="BC48" s="59" t="s">
        <v>18</v>
      </c>
      <c r="BD48" s="195">
        <f t="shared" si="14"/>
        <v>0</v>
      </c>
      <c r="BE48" s="196" t="s">
        <v>23</v>
      </c>
      <c r="BF48" s="183">
        <v>0</v>
      </c>
      <c r="BG48" s="59" t="s">
        <v>18</v>
      </c>
      <c r="BH48" s="195">
        <f t="shared" si="15"/>
        <v>0</v>
      </c>
      <c r="BI48" s="196" t="s">
        <v>23</v>
      </c>
      <c r="BJ48" s="183">
        <v>0</v>
      </c>
      <c r="BK48" s="59" t="s">
        <v>18</v>
      </c>
      <c r="BL48" s="195">
        <f t="shared" si="16"/>
        <v>0</v>
      </c>
      <c r="BM48" s="196" t="s">
        <v>23</v>
      </c>
      <c r="BN48" s="183">
        <v>0</v>
      </c>
      <c r="BO48" s="59" t="s">
        <v>18</v>
      </c>
      <c r="BP48" s="195">
        <f t="shared" si="17"/>
        <v>0</v>
      </c>
      <c r="BQ48" s="196" t="s">
        <v>23</v>
      </c>
      <c r="BR48" s="183">
        <v>0</v>
      </c>
      <c r="BS48" s="59" t="s">
        <v>18</v>
      </c>
      <c r="BT48" s="195">
        <f t="shared" si="18"/>
        <v>0</v>
      </c>
      <c r="BU48" s="196" t="s">
        <v>23</v>
      </c>
      <c r="BV48" s="183">
        <v>0</v>
      </c>
      <c r="BW48" s="59" t="s">
        <v>18</v>
      </c>
      <c r="BX48" s="195">
        <f t="shared" si="19"/>
        <v>0</v>
      </c>
      <c r="BY48" s="196" t="s">
        <v>23</v>
      </c>
      <c r="BZ48" s="183">
        <v>0</v>
      </c>
      <c r="CA48" s="59" t="s">
        <v>18</v>
      </c>
      <c r="CB48" s="195">
        <f t="shared" si="20"/>
        <v>0</v>
      </c>
      <c r="CC48" s="196" t="s">
        <v>23</v>
      </c>
    </row>
    <row r="49" spans="1:81" ht="14.25">
      <c r="A49" s="175" t="s">
        <v>59</v>
      </c>
      <c r="B49" s="183">
        <v>1</v>
      </c>
      <c r="C49" s="59" t="s">
        <v>18</v>
      </c>
      <c r="D49" s="270" t="e">
        <f t="shared" si="1"/>
        <v>#NUM!</v>
      </c>
      <c r="E49" s="196" t="s">
        <v>23</v>
      </c>
      <c r="F49" s="183">
        <v>0</v>
      </c>
      <c r="G49" s="59" t="s">
        <v>18</v>
      </c>
      <c r="H49" s="195" t="e">
        <f t="shared" si="2"/>
        <v>#NUM!</v>
      </c>
      <c r="I49" s="196" t="s">
        <v>23</v>
      </c>
      <c r="J49" s="183">
        <v>0</v>
      </c>
      <c r="K49" s="59" t="s">
        <v>18</v>
      </c>
      <c r="L49" s="195" t="e">
        <f t="shared" si="3"/>
        <v>#NUM!</v>
      </c>
      <c r="M49" s="196" t="s">
        <v>23</v>
      </c>
      <c r="N49" s="183">
        <v>0</v>
      </c>
      <c r="O49" s="59" t="s">
        <v>18</v>
      </c>
      <c r="P49" s="195" t="e">
        <f t="shared" si="4"/>
        <v>#NUM!</v>
      </c>
      <c r="Q49" s="196" t="s">
        <v>23</v>
      </c>
      <c r="R49" s="183">
        <v>0</v>
      </c>
      <c r="S49" s="59" t="s">
        <v>18</v>
      </c>
      <c r="T49" s="195" t="e">
        <f t="shared" si="5"/>
        <v>#NUM!</v>
      </c>
      <c r="U49" s="196" t="s">
        <v>23</v>
      </c>
      <c r="V49" s="183">
        <v>0</v>
      </c>
      <c r="W49" s="59" t="s">
        <v>18</v>
      </c>
      <c r="X49" s="195" t="e">
        <f t="shared" si="6"/>
        <v>#NUM!</v>
      </c>
      <c r="Y49" s="196" t="s">
        <v>23</v>
      </c>
      <c r="Z49" s="183">
        <v>0</v>
      </c>
      <c r="AA49" s="59" t="s">
        <v>18</v>
      </c>
      <c r="AB49" s="195" t="e">
        <f t="shared" si="7"/>
        <v>#NUM!</v>
      </c>
      <c r="AC49" s="196" t="s">
        <v>23</v>
      </c>
      <c r="AD49" s="183">
        <v>0</v>
      </c>
      <c r="AE49" s="59" t="s">
        <v>18</v>
      </c>
      <c r="AF49" s="195" t="e">
        <f t="shared" si="8"/>
        <v>#NUM!</v>
      </c>
      <c r="AG49" s="196" t="s">
        <v>23</v>
      </c>
      <c r="AH49" s="183">
        <v>0</v>
      </c>
      <c r="AI49" s="59" t="s">
        <v>18</v>
      </c>
      <c r="AJ49" s="195" t="e">
        <f t="shared" si="9"/>
        <v>#NUM!</v>
      </c>
      <c r="AK49" s="196" t="s">
        <v>23</v>
      </c>
      <c r="AL49" s="183">
        <v>0</v>
      </c>
      <c r="AM49" s="59" t="s">
        <v>18</v>
      </c>
      <c r="AN49" s="195" t="e">
        <f t="shared" si="10"/>
        <v>#NUM!</v>
      </c>
      <c r="AO49" s="196" t="s">
        <v>23</v>
      </c>
      <c r="AP49" s="183">
        <v>0</v>
      </c>
      <c r="AQ49" s="59" t="s">
        <v>18</v>
      </c>
      <c r="AR49" s="195" t="e">
        <f t="shared" si="11"/>
        <v>#NUM!</v>
      </c>
      <c r="AS49" s="196" t="s">
        <v>23</v>
      </c>
      <c r="AT49" s="183">
        <v>0</v>
      </c>
      <c r="AU49" s="59" t="s">
        <v>18</v>
      </c>
      <c r="AV49" s="195" t="e">
        <f t="shared" si="12"/>
        <v>#NUM!</v>
      </c>
      <c r="AW49" s="196" t="s">
        <v>23</v>
      </c>
      <c r="AX49" s="183">
        <v>0</v>
      </c>
      <c r="AY49" s="59" t="s">
        <v>18</v>
      </c>
      <c r="AZ49" s="195" t="e">
        <f t="shared" si="13"/>
        <v>#NUM!</v>
      </c>
      <c r="BA49" s="196" t="s">
        <v>23</v>
      </c>
      <c r="BB49" s="183">
        <v>0</v>
      </c>
      <c r="BC49" s="59" t="s">
        <v>18</v>
      </c>
      <c r="BD49" s="195" t="e">
        <f t="shared" si="14"/>
        <v>#NUM!</v>
      </c>
      <c r="BE49" s="196" t="s">
        <v>23</v>
      </c>
      <c r="BF49" s="183">
        <v>0</v>
      </c>
      <c r="BG49" s="59" t="s">
        <v>18</v>
      </c>
      <c r="BH49" s="195" t="e">
        <f t="shared" si="15"/>
        <v>#NUM!</v>
      </c>
      <c r="BI49" s="196" t="s">
        <v>23</v>
      </c>
      <c r="BJ49" s="183">
        <v>0</v>
      </c>
      <c r="BK49" s="59" t="s">
        <v>18</v>
      </c>
      <c r="BL49" s="195" t="e">
        <f t="shared" si="16"/>
        <v>#NUM!</v>
      </c>
      <c r="BM49" s="196" t="s">
        <v>23</v>
      </c>
      <c r="BN49" s="183">
        <v>0</v>
      </c>
      <c r="BO49" s="59" t="s">
        <v>18</v>
      </c>
      <c r="BP49" s="195" t="e">
        <f t="shared" si="17"/>
        <v>#NUM!</v>
      </c>
      <c r="BQ49" s="196" t="s">
        <v>23</v>
      </c>
      <c r="BR49" s="183">
        <v>0</v>
      </c>
      <c r="BS49" s="59" t="s">
        <v>18</v>
      </c>
      <c r="BT49" s="195" t="e">
        <f t="shared" si="18"/>
        <v>#NUM!</v>
      </c>
      <c r="BU49" s="196" t="s">
        <v>23</v>
      </c>
      <c r="BV49" s="183">
        <v>0</v>
      </c>
      <c r="BW49" s="59" t="s">
        <v>18</v>
      </c>
      <c r="BX49" s="195" t="e">
        <f t="shared" si="19"/>
        <v>#NUM!</v>
      </c>
      <c r="BY49" s="196" t="s">
        <v>23</v>
      </c>
      <c r="BZ49" s="183">
        <v>0</v>
      </c>
      <c r="CA49" s="59" t="s">
        <v>18</v>
      </c>
      <c r="CB49" s="195" t="e">
        <f t="shared" si="20"/>
        <v>#NUM!</v>
      </c>
      <c r="CC49" s="196" t="s">
        <v>23</v>
      </c>
    </row>
    <row r="50" spans="1:81" ht="14.25">
      <c r="A50" s="181" t="s">
        <v>60</v>
      </c>
      <c r="B50" s="183">
        <v>1</v>
      </c>
      <c r="C50" s="82" t="s">
        <v>18</v>
      </c>
      <c r="D50" s="270" t="e">
        <f t="shared" si="1"/>
        <v>#NUM!</v>
      </c>
      <c r="E50" s="196" t="s">
        <v>23</v>
      </c>
      <c r="F50" s="183">
        <v>0</v>
      </c>
      <c r="G50" s="82" t="s">
        <v>18</v>
      </c>
      <c r="H50" s="195" t="e">
        <f t="shared" si="2"/>
        <v>#NUM!</v>
      </c>
      <c r="I50" s="196" t="s">
        <v>23</v>
      </c>
      <c r="J50" s="183">
        <v>0</v>
      </c>
      <c r="K50" s="82" t="s">
        <v>18</v>
      </c>
      <c r="L50" s="195" t="e">
        <f t="shared" si="3"/>
        <v>#NUM!</v>
      </c>
      <c r="M50" s="196" t="s">
        <v>23</v>
      </c>
      <c r="N50" s="183">
        <v>0</v>
      </c>
      <c r="O50" s="82" t="s">
        <v>18</v>
      </c>
      <c r="P50" s="195" t="e">
        <f t="shared" si="4"/>
        <v>#NUM!</v>
      </c>
      <c r="Q50" s="196" t="s">
        <v>23</v>
      </c>
      <c r="R50" s="183">
        <v>0</v>
      </c>
      <c r="S50" s="82" t="s">
        <v>18</v>
      </c>
      <c r="T50" s="195" t="e">
        <f t="shared" si="5"/>
        <v>#NUM!</v>
      </c>
      <c r="U50" s="196" t="s">
        <v>23</v>
      </c>
      <c r="V50" s="183">
        <v>0</v>
      </c>
      <c r="W50" s="82" t="s">
        <v>18</v>
      </c>
      <c r="X50" s="195" t="e">
        <f t="shared" si="6"/>
        <v>#NUM!</v>
      </c>
      <c r="Y50" s="196" t="s">
        <v>23</v>
      </c>
      <c r="Z50" s="183">
        <v>0</v>
      </c>
      <c r="AA50" s="82" t="s">
        <v>18</v>
      </c>
      <c r="AB50" s="195" t="e">
        <f t="shared" si="7"/>
        <v>#NUM!</v>
      </c>
      <c r="AC50" s="196" t="s">
        <v>23</v>
      </c>
      <c r="AD50" s="183">
        <v>0</v>
      </c>
      <c r="AE50" s="82" t="s">
        <v>18</v>
      </c>
      <c r="AF50" s="195" t="e">
        <f t="shared" si="8"/>
        <v>#NUM!</v>
      </c>
      <c r="AG50" s="196" t="s">
        <v>23</v>
      </c>
      <c r="AH50" s="183">
        <v>0</v>
      </c>
      <c r="AI50" s="82" t="s">
        <v>18</v>
      </c>
      <c r="AJ50" s="195" t="e">
        <f t="shared" si="9"/>
        <v>#NUM!</v>
      </c>
      <c r="AK50" s="196" t="s">
        <v>23</v>
      </c>
      <c r="AL50" s="183">
        <v>0</v>
      </c>
      <c r="AM50" s="82" t="s">
        <v>18</v>
      </c>
      <c r="AN50" s="195" t="e">
        <f t="shared" si="10"/>
        <v>#NUM!</v>
      </c>
      <c r="AO50" s="196" t="s">
        <v>23</v>
      </c>
      <c r="AP50" s="183">
        <v>0</v>
      </c>
      <c r="AQ50" s="82" t="s">
        <v>18</v>
      </c>
      <c r="AR50" s="195" t="e">
        <f t="shared" si="11"/>
        <v>#NUM!</v>
      </c>
      <c r="AS50" s="196" t="s">
        <v>23</v>
      </c>
      <c r="AT50" s="183">
        <v>0</v>
      </c>
      <c r="AU50" s="82" t="s">
        <v>18</v>
      </c>
      <c r="AV50" s="195" t="e">
        <f t="shared" si="12"/>
        <v>#NUM!</v>
      </c>
      <c r="AW50" s="196" t="s">
        <v>23</v>
      </c>
      <c r="AX50" s="183">
        <v>0</v>
      </c>
      <c r="AY50" s="82" t="s">
        <v>18</v>
      </c>
      <c r="AZ50" s="195" t="e">
        <f t="shared" si="13"/>
        <v>#NUM!</v>
      </c>
      <c r="BA50" s="196" t="s">
        <v>23</v>
      </c>
      <c r="BB50" s="183">
        <v>0</v>
      </c>
      <c r="BC50" s="82" t="s">
        <v>18</v>
      </c>
      <c r="BD50" s="195" t="e">
        <f t="shared" si="14"/>
        <v>#NUM!</v>
      </c>
      <c r="BE50" s="196" t="s">
        <v>23</v>
      </c>
      <c r="BF50" s="183">
        <v>0</v>
      </c>
      <c r="BG50" s="82" t="s">
        <v>18</v>
      </c>
      <c r="BH50" s="195" t="e">
        <f t="shared" si="15"/>
        <v>#NUM!</v>
      </c>
      <c r="BI50" s="196" t="s">
        <v>23</v>
      </c>
      <c r="BJ50" s="183">
        <v>0</v>
      </c>
      <c r="BK50" s="82" t="s">
        <v>18</v>
      </c>
      <c r="BL50" s="195" t="e">
        <f t="shared" si="16"/>
        <v>#NUM!</v>
      </c>
      <c r="BM50" s="196" t="s">
        <v>23</v>
      </c>
      <c r="BN50" s="183">
        <v>0</v>
      </c>
      <c r="BO50" s="82" t="s">
        <v>18</v>
      </c>
      <c r="BP50" s="195" t="e">
        <f t="shared" si="17"/>
        <v>#NUM!</v>
      </c>
      <c r="BQ50" s="196" t="s">
        <v>23</v>
      </c>
      <c r="BR50" s="183">
        <v>0</v>
      </c>
      <c r="BS50" s="82" t="s">
        <v>18</v>
      </c>
      <c r="BT50" s="195" t="e">
        <f t="shared" si="18"/>
        <v>#NUM!</v>
      </c>
      <c r="BU50" s="196" t="s">
        <v>23</v>
      </c>
      <c r="BV50" s="183">
        <v>0</v>
      </c>
      <c r="BW50" s="82" t="s">
        <v>18</v>
      </c>
      <c r="BX50" s="195" t="e">
        <f t="shared" si="19"/>
        <v>#NUM!</v>
      </c>
      <c r="BY50" s="196" t="s">
        <v>23</v>
      </c>
      <c r="BZ50" s="183">
        <v>0</v>
      </c>
      <c r="CA50" s="82" t="s">
        <v>18</v>
      </c>
      <c r="CB50" s="195" t="e">
        <f t="shared" si="20"/>
        <v>#NUM!</v>
      </c>
      <c r="CC50" s="196" t="s">
        <v>23</v>
      </c>
    </row>
    <row r="51" spans="1:81" ht="14.25">
      <c r="A51" s="175" t="s">
        <v>61</v>
      </c>
      <c r="B51" s="183">
        <v>1</v>
      </c>
      <c r="C51" s="59" t="s">
        <v>18</v>
      </c>
      <c r="D51" s="270" t="e">
        <f t="shared" si="1"/>
        <v>#NUM!</v>
      </c>
      <c r="E51" s="196" t="s">
        <v>23</v>
      </c>
      <c r="F51" s="183">
        <v>0</v>
      </c>
      <c r="G51" s="59" t="s">
        <v>18</v>
      </c>
      <c r="H51" s="195" t="e">
        <f t="shared" si="2"/>
        <v>#NUM!</v>
      </c>
      <c r="I51" s="196" t="s">
        <v>23</v>
      </c>
      <c r="J51" s="183">
        <v>0</v>
      </c>
      <c r="K51" s="59" t="s">
        <v>18</v>
      </c>
      <c r="L51" s="195" t="e">
        <f t="shared" si="3"/>
        <v>#NUM!</v>
      </c>
      <c r="M51" s="196" t="s">
        <v>23</v>
      </c>
      <c r="N51" s="183">
        <v>0</v>
      </c>
      <c r="O51" s="59" t="s">
        <v>18</v>
      </c>
      <c r="P51" s="195" t="e">
        <f t="shared" si="4"/>
        <v>#NUM!</v>
      </c>
      <c r="Q51" s="196" t="s">
        <v>23</v>
      </c>
      <c r="R51" s="183">
        <v>0</v>
      </c>
      <c r="S51" s="59" t="s">
        <v>18</v>
      </c>
      <c r="T51" s="195" t="e">
        <f t="shared" si="5"/>
        <v>#NUM!</v>
      </c>
      <c r="U51" s="196" t="s">
        <v>23</v>
      </c>
      <c r="V51" s="183">
        <v>0</v>
      </c>
      <c r="W51" s="59" t="s">
        <v>18</v>
      </c>
      <c r="X51" s="195" t="e">
        <f t="shared" si="6"/>
        <v>#NUM!</v>
      </c>
      <c r="Y51" s="196" t="s">
        <v>23</v>
      </c>
      <c r="Z51" s="183">
        <v>0</v>
      </c>
      <c r="AA51" s="59" t="s">
        <v>18</v>
      </c>
      <c r="AB51" s="195" t="e">
        <f t="shared" si="7"/>
        <v>#NUM!</v>
      </c>
      <c r="AC51" s="196" t="s">
        <v>23</v>
      </c>
      <c r="AD51" s="183">
        <v>0</v>
      </c>
      <c r="AE51" s="59" t="s">
        <v>18</v>
      </c>
      <c r="AF51" s="195" t="e">
        <f t="shared" si="8"/>
        <v>#NUM!</v>
      </c>
      <c r="AG51" s="196" t="s">
        <v>23</v>
      </c>
      <c r="AH51" s="183">
        <v>0</v>
      </c>
      <c r="AI51" s="59" t="s">
        <v>18</v>
      </c>
      <c r="AJ51" s="195" t="e">
        <f t="shared" si="9"/>
        <v>#NUM!</v>
      </c>
      <c r="AK51" s="196" t="s">
        <v>23</v>
      </c>
      <c r="AL51" s="183">
        <v>0</v>
      </c>
      <c r="AM51" s="59" t="s">
        <v>18</v>
      </c>
      <c r="AN51" s="195" t="e">
        <f t="shared" si="10"/>
        <v>#NUM!</v>
      </c>
      <c r="AO51" s="196" t="s">
        <v>23</v>
      </c>
      <c r="AP51" s="183">
        <v>0</v>
      </c>
      <c r="AQ51" s="59" t="s">
        <v>18</v>
      </c>
      <c r="AR51" s="195" t="e">
        <f t="shared" si="11"/>
        <v>#NUM!</v>
      </c>
      <c r="AS51" s="196" t="s">
        <v>23</v>
      </c>
      <c r="AT51" s="183">
        <v>0</v>
      </c>
      <c r="AU51" s="59" t="s">
        <v>18</v>
      </c>
      <c r="AV51" s="195" t="e">
        <f t="shared" si="12"/>
        <v>#NUM!</v>
      </c>
      <c r="AW51" s="196" t="s">
        <v>23</v>
      </c>
      <c r="AX51" s="183">
        <v>0</v>
      </c>
      <c r="AY51" s="59" t="s">
        <v>18</v>
      </c>
      <c r="AZ51" s="195" t="e">
        <f t="shared" si="13"/>
        <v>#NUM!</v>
      </c>
      <c r="BA51" s="196" t="s">
        <v>23</v>
      </c>
      <c r="BB51" s="183">
        <v>0</v>
      </c>
      <c r="BC51" s="59" t="s">
        <v>18</v>
      </c>
      <c r="BD51" s="195" t="e">
        <f t="shared" si="14"/>
        <v>#NUM!</v>
      </c>
      <c r="BE51" s="196" t="s">
        <v>23</v>
      </c>
      <c r="BF51" s="183">
        <v>0</v>
      </c>
      <c r="BG51" s="59" t="s">
        <v>18</v>
      </c>
      <c r="BH51" s="195" t="e">
        <f t="shared" si="15"/>
        <v>#NUM!</v>
      </c>
      <c r="BI51" s="196" t="s">
        <v>23</v>
      </c>
      <c r="BJ51" s="183">
        <v>0</v>
      </c>
      <c r="BK51" s="59" t="s">
        <v>18</v>
      </c>
      <c r="BL51" s="195" t="e">
        <f t="shared" si="16"/>
        <v>#NUM!</v>
      </c>
      <c r="BM51" s="196" t="s">
        <v>23</v>
      </c>
      <c r="BN51" s="183">
        <v>0</v>
      </c>
      <c r="BO51" s="59" t="s">
        <v>18</v>
      </c>
      <c r="BP51" s="195" t="e">
        <f t="shared" si="17"/>
        <v>#NUM!</v>
      </c>
      <c r="BQ51" s="196" t="s">
        <v>23</v>
      </c>
      <c r="BR51" s="183">
        <v>0</v>
      </c>
      <c r="BS51" s="59" t="s">
        <v>18</v>
      </c>
      <c r="BT51" s="195" t="e">
        <f t="shared" si="18"/>
        <v>#NUM!</v>
      </c>
      <c r="BU51" s="196" t="s">
        <v>23</v>
      </c>
      <c r="BV51" s="183">
        <v>0</v>
      </c>
      <c r="BW51" s="59" t="s">
        <v>18</v>
      </c>
      <c r="BX51" s="195" t="e">
        <f t="shared" si="19"/>
        <v>#NUM!</v>
      </c>
      <c r="BY51" s="196" t="s">
        <v>23</v>
      </c>
      <c r="BZ51" s="183">
        <v>0</v>
      </c>
      <c r="CA51" s="59" t="s">
        <v>18</v>
      </c>
      <c r="CB51" s="195" t="e">
        <f t="shared" si="20"/>
        <v>#NUM!</v>
      </c>
      <c r="CC51" s="196" t="s">
        <v>23</v>
      </c>
    </row>
    <row r="52" spans="1:81" ht="14.25">
      <c r="A52" s="65" t="s">
        <v>256</v>
      </c>
      <c r="B52" s="183">
        <v>1</v>
      </c>
      <c r="C52" s="59" t="s">
        <v>18</v>
      </c>
      <c r="D52" s="270">
        <f t="shared" si="1"/>
        <v>0</v>
      </c>
      <c r="E52" s="72" t="s">
        <v>23</v>
      </c>
      <c r="F52" s="183">
        <v>0</v>
      </c>
      <c r="G52" s="59" t="s">
        <v>18</v>
      </c>
      <c r="H52" s="195">
        <f t="shared" si="2"/>
        <v>0</v>
      </c>
      <c r="I52" s="72" t="s">
        <v>23</v>
      </c>
      <c r="J52" s="183">
        <v>0</v>
      </c>
      <c r="K52" s="59" t="s">
        <v>18</v>
      </c>
      <c r="L52" s="195">
        <f t="shared" si="3"/>
        <v>0</v>
      </c>
      <c r="M52" s="72" t="s">
        <v>23</v>
      </c>
      <c r="N52" s="183">
        <v>0</v>
      </c>
      <c r="O52" s="59" t="s">
        <v>18</v>
      </c>
      <c r="P52" s="195">
        <f t="shared" si="4"/>
        <v>0</v>
      </c>
      <c r="Q52" s="72" t="s">
        <v>23</v>
      </c>
      <c r="R52" s="183">
        <v>0</v>
      </c>
      <c r="S52" s="59" t="s">
        <v>18</v>
      </c>
      <c r="T52" s="195">
        <f t="shared" si="5"/>
        <v>0</v>
      </c>
      <c r="U52" s="72" t="s">
        <v>23</v>
      </c>
      <c r="V52" s="183">
        <v>0</v>
      </c>
      <c r="W52" s="59" t="s">
        <v>18</v>
      </c>
      <c r="X52" s="195">
        <f t="shared" si="6"/>
        <v>0</v>
      </c>
      <c r="Y52" s="72" t="s">
        <v>23</v>
      </c>
      <c r="Z52" s="183">
        <v>0</v>
      </c>
      <c r="AA52" s="59" t="s">
        <v>18</v>
      </c>
      <c r="AB52" s="195">
        <f t="shared" si="7"/>
        <v>0</v>
      </c>
      <c r="AC52" s="72" t="s">
        <v>23</v>
      </c>
      <c r="AD52" s="183">
        <v>0</v>
      </c>
      <c r="AE52" s="59" t="s">
        <v>18</v>
      </c>
      <c r="AF52" s="195">
        <f t="shared" si="8"/>
        <v>0</v>
      </c>
      <c r="AG52" s="72" t="s">
        <v>23</v>
      </c>
      <c r="AH52" s="183">
        <v>0</v>
      </c>
      <c r="AI52" s="59" t="s">
        <v>18</v>
      </c>
      <c r="AJ52" s="195">
        <f t="shared" si="9"/>
        <v>0</v>
      </c>
      <c r="AK52" s="72" t="s">
        <v>23</v>
      </c>
      <c r="AL52" s="183">
        <v>0</v>
      </c>
      <c r="AM52" s="59" t="s">
        <v>18</v>
      </c>
      <c r="AN52" s="195">
        <f t="shared" si="10"/>
        <v>0</v>
      </c>
      <c r="AO52" s="72" t="s">
        <v>23</v>
      </c>
      <c r="AP52" s="183">
        <v>0</v>
      </c>
      <c r="AQ52" s="59" t="s">
        <v>18</v>
      </c>
      <c r="AR52" s="195">
        <f t="shared" si="11"/>
        <v>0</v>
      </c>
      <c r="AS52" s="72" t="s">
        <v>23</v>
      </c>
      <c r="AT52" s="183">
        <v>0</v>
      </c>
      <c r="AU52" s="59" t="s">
        <v>18</v>
      </c>
      <c r="AV52" s="195">
        <f t="shared" si="12"/>
        <v>0</v>
      </c>
      <c r="AW52" s="72" t="s">
        <v>23</v>
      </c>
      <c r="AX52" s="183">
        <v>0</v>
      </c>
      <c r="AY52" s="59" t="s">
        <v>18</v>
      </c>
      <c r="AZ52" s="195">
        <f t="shared" si="13"/>
        <v>0</v>
      </c>
      <c r="BA52" s="72" t="s">
        <v>23</v>
      </c>
      <c r="BB52" s="183">
        <v>0</v>
      </c>
      <c r="BC52" s="59" t="s">
        <v>18</v>
      </c>
      <c r="BD52" s="195">
        <f t="shared" si="14"/>
        <v>0</v>
      </c>
      <c r="BE52" s="72" t="s">
        <v>23</v>
      </c>
      <c r="BF52" s="183">
        <v>0</v>
      </c>
      <c r="BG52" s="59" t="s">
        <v>18</v>
      </c>
      <c r="BH52" s="195">
        <f t="shared" si="15"/>
        <v>0</v>
      </c>
      <c r="BI52" s="72" t="s">
        <v>23</v>
      </c>
      <c r="BJ52" s="183">
        <v>0</v>
      </c>
      <c r="BK52" s="59" t="s">
        <v>18</v>
      </c>
      <c r="BL52" s="195">
        <f t="shared" si="16"/>
        <v>0</v>
      </c>
      <c r="BM52" s="72" t="s">
        <v>23</v>
      </c>
      <c r="BN52" s="183">
        <v>0</v>
      </c>
      <c r="BO52" s="59" t="s">
        <v>18</v>
      </c>
      <c r="BP52" s="195">
        <f t="shared" si="17"/>
        <v>0</v>
      </c>
      <c r="BQ52" s="72" t="s">
        <v>23</v>
      </c>
      <c r="BR52" s="183">
        <v>0</v>
      </c>
      <c r="BS52" s="59" t="s">
        <v>18</v>
      </c>
      <c r="BT52" s="195">
        <f t="shared" si="18"/>
        <v>0</v>
      </c>
      <c r="BU52" s="72" t="s">
        <v>23</v>
      </c>
      <c r="BV52" s="183">
        <v>0</v>
      </c>
      <c r="BW52" s="59" t="s">
        <v>18</v>
      </c>
      <c r="BX52" s="195">
        <f t="shared" si="19"/>
        <v>0</v>
      </c>
      <c r="BY52" s="72" t="s">
        <v>23</v>
      </c>
      <c r="BZ52" s="183">
        <v>0</v>
      </c>
      <c r="CA52" s="59" t="s">
        <v>18</v>
      </c>
      <c r="CB52" s="195">
        <f t="shared" si="20"/>
        <v>0</v>
      </c>
      <c r="CC52" s="72" t="s">
        <v>23</v>
      </c>
    </row>
    <row r="53" spans="1:81">
      <c r="A53" s="212"/>
      <c r="B53" s="215"/>
      <c r="C53" s="185"/>
      <c r="D53" s="216"/>
      <c r="E53" s="89"/>
      <c r="F53" s="215"/>
      <c r="G53" s="185"/>
      <c r="H53" s="216"/>
      <c r="I53" s="89"/>
      <c r="J53" s="215"/>
      <c r="K53" s="185"/>
      <c r="L53" s="216"/>
      <c r="M53" s="89"/>
      <c r="N53" s="215"/>
      <c r="O53" s="185"/>
      <c r="P53" s="216"/>
      <c r="Q53" s="89"/>
      <c r="R53" s="215"/>
      <c r="S53" s="185"/>
      <c r="T53" s="216"/>
      <c r="U53" s="89"/>
      <c r="V53" s="215"/>
      <c r="W53" s="185"/>
      <c r="X53" s="216"/>
      <c r="Y53" s="89"/>
      <c r="Z53" s="215"/>
      <c r="AA53" s="185"/>
      <c r="AB53" s="216"/>
      <c r="AC53" s="89"/>
      <c r="AD53" s="215"/>
      <c r="AE53" s="185"/>
      <c r="AF53" s="216"/>
      <c r="AG53" s="89"/>
      <c r="AH53" s="215"/>
      <c r="AI53" s="185"/>
      <c r="AJ53" s="216"/>
      <c r="AK53" s="89"/>
      <c r="AL53" s="215"/>
      <c r="AM53" s="185"/>
      <c r="AN53" s="216"/>
      <c r="AO53" s="89"/>
      <c r="AP53" s="215"/>
      <c r="AQ53" s="185"/>
      <c r="AR53" s="216"/>
      <c r="AS53" s="89"/>
      <c r="AT53" s="215"/>
      <c r="AU53" s="185"/>
      <c r="AV53" s="216"/>
      <c r="AW53" s="89"/>
      <c r="AX53" s="215"/>
      <c r="AY53" s="185"/>
      <c r="AZ53" s="216"/>
      <c r="BA53" s="89"/>
      <c r="BB53" s="215"/>
      <c r="BC53" s="185"/>
      <c r="BD53" s="216"/>
      <c r="BE53" s="89"/>
      <c r="BF53" s="215"/>
      <c r="BG53" s="185"/>
      <c r="BH53" s="216"/>
      <c r="BI53" s="89"/>
      <c r="BJ53" s="215"/>
      <c r="BK53" s="185"/>
      <c r="BL53" s="216"/>
      <c r="BM53" s="89"/>
      <c r="BN53" s="215"/>
      <c r="BO53" s="185"/>
      <c r="BP53" s="216"/>
      <c r="BQ53" s="89"/>
      <c r="BR53" s="215"/>
      <c r="BS53" s="185"/>
      <c r="BT53" s="216"/>
      <c r="BU53" s="89"/>
      <c r="BV53" s="215"/>
      <c r="BW53" s="185"/>
      <c r="BX53" s="216"/>
      <c r="BY53" s="89"/>
      <c r="BZ53" s="215"/>
      <c r="CA53" s="185"/>
      <c r="CB53" s="216"/>
      <c r="CC53" s="89"/>
    </row>
    <row r="54" spans="1:81">
      <c r="O54" s="79"/>
      <c r="P54" s="197"/>
    </row>
    <row r="55" spans="1:81">
      <c r="D55" s="161"/>
      <c r="E55" s="161"/>
      <c r="H55" s="161"/>
      <c r="I55" s="161"/>
      <c r="O55" s="79"/>
      <c r="P55" s="198"/>
    </row>
    <row r="56" spans="1:81">
      <c r="E56" s="161"/>
    </row>
    <row r="58" spans="1:81">
      <c r="A58" s="301" t="s">
        <v>248</v>
      </c>
      <c r="B58" s="301"/>
      <c r="C58" s="301"/>
      <c r="D58" s="301"/>
      <c r="E58" s="301"/>
      <c r="F58" s="301"/>
      <c r="G58" s="301"/>
    </row>
    <row r="59" spans="1:81" ht="63.75">
      <c r="A59" s="192" t="s">
        <v>62</v>
      </c>
      <c r="B59" s="187" t="s">
        <v>193</v>
      </c>
      <c r="C59" s="194" t="s">
        <v>202</v>
      </c>
      <c r="D59" s="199" t="s">
        <v>249</v>
      </c>
      <c r="E59" s="194" t="s">
        <v>202</v>
      </c>
      <c r="F59" s="199" t="s">
        <v>250</v>
      </c>
      <c r="G59" s="194" t="s">
        <v>202</v>
      </c>
      <c r="H59" s="200"/>
    </row>
    <row r="60" spans="1:81" ht="14.25">
      <c r="A60" s="177" t="s">
        <v>17</v>
      </c>
      <c r="B60" s="231">
        <f t="shared" ref="B60:B81" si="21">SUM(D27,H27,L27,P27,T27,X27,AB27,AF27,AJ27,AN27,AR27,AV27,AZ27,BD27,BH27,BL27,BP27,BT27,BX27,CB27)</f>
        <v>0</v>
      </c>
      <c r="C60" s="201" t="s">
        <v>23</v>
      </c>
      <c r="D60" s="202">
        <f>(F60-B60)/(SUM($B$25,$F$25,$J$25,$N$25,$R$25,$V$25,$Z$25,$AD$25,$AH$25,$AL$25,$AP$25,$AT$25,$AX$25,$BB$25,$BF$25,$BJ$25,$BN$25,$BR$25,$BV$25,$BZ$25))</f>
        <v>1</v>
      </c>
      <c r="E60" s="59" t="s">
        <v>18</v>
      </c>
      <c r="F60" s="203">
        <f t="shared" ref="F60:F81" si="22">(B27*$B$25)+(F27*$F$25)+(J27*$J$25)+(N27*$N$25)+(R27*$R$25)+(V27*$V$25)+(Z27*$Z$25)+(AD27*$AD$25)+(AH27*$AH$25)+(AL27*$AL$25)+(AP27*$AP$25)+(AT27*$AT$25)+(AX27*$AX$25)+(BB27*$BB$25)+(BF27*$BF$25)+(BJ27*$BJ$25)+(BN27*$BN$25)+(BR27*$BR$25)+(BV27*$BV$25)+(BZ27*$BZ$25)</f>
        <v>1</v>
      </c>
      <c r="G60" s="72" t="s">
        <v>23</v>
      </c>
      <c r="H60" s="204"/>
    </row>
    <row r="61" spans="1:81" ht="14.25">
      <c r="A61" s="178" t="s">
        <v>6</v>
      </c>
      <c r="B61" s="231">
        <f t="shared" si="21"/>
        <v>0</v>
      </c>
      <c r="C61" s="201" t="s">
        <v>23</v>
      </c>
      <c r="D61" s="202">
        <f t="shared" ref="D61:D85" si="23">(F61-B61)/(SUM($B$25,$F$25,$J$25,$N$25,$R$25,$V$25,$Z$25,$AD$25,$AH$25,$AL$25,$AP$25,$AT$25,$AX$25,$BB$25,$BF$25,$BJ$25,$BN$25,$BR$25,$BV$25,$BZ$25))</f>
        <v>1</v>
      </c>
      <c r="E61" s="59" t="s">
        <v>18</v>
      </c>
      <c r="F61" s="203">
        <f t="shared" si="22"/>
        <v>1</v>
      </c>
      <c r="G61" s="72" t="s">
        <v>23</v>
      </c>
      <c r="H61" s="204"/>
    </row>
    <row r="62" spans="1:81" ht="14.25">
      <c r="A62" s="178" t="s">
        <v>13</v>
      </c>
      <c r="B62" s="231">
        <f t="shared" si="21"/>
        <v>0</v>
      </c>
      <c r="C62" s="201" t="s">
        <v>23</v>
      </c>
      <c r="D62" s="202">
        <f t="shared" si="23"/>
        <v>1</v>
      </c>
      <c r="E62" s="59" t="s">
        <v>18</v>
      </c>
      <c r="F62" s="203">
        <f t="shared" si="22"/>
        <v>1</v>
      </c>
      <c r="G62" s="72" t="s">
        <v>23</v>
      </c>
      <c r="H62" s="204"/>
    </row>
    <row r="63" spans="1:81" ht="14.25">
      <c r="A63" s="177" t="s">
        <v>69</v>
      </c>
      <c r="B63" s="231">
        <f t="shared" si="21"/>
        <v>0</v>
      </c>
      <c r="C63" s="201" t="s">
        <v>23</v>
      </c>
      <c r="D63" s="202">
        <f t="shared" si="23"/>
        <v>1</v>
      </c>
      <c r="E63" s="59" t="s">
        <v>18</v>
      </c>
      <c r="F63" s="203">
        <f t="shared" si="22"/>
        <v>1</v>
      </c>
      <c r="G63" s="72" t="s">
        <v>23</v>
      </c>
      <c r="H63" s="204"/>
    </row>
    <row r="64" spans="1:81" ht="14.25">
      <c r="A64" s="178" t="s">
        <v>9</v>
      </c>
      <c r="B64" s="231">
        <f t="shared" si="21"/>
        <v>0</v>
      </c>
      <c r="C64" s="201" t="s">
        <v>23</v>
      </c>
      <c r="D64" s="202">
        <f t="shared" si="23"/>
        <v>1</v>
      </c>
      <c r="E64" s="59" t="s">
        <v>18</v>
      </c>
      <c r="F64" s="203">
        <f t="shared" si="22"/>
        <v>1</v>
      </c>
      <c r="G64" s="72" t="s">
        <v>23</v>
      </c>
      <c r="H64" s="204"/>
    </row>
    <row r="65" spans="1:8" ht="14.25">
      <c r="A65" s="179" t="s">
        <v>7</v>
      </c>
      <c r="B65" s="231">
        <f t="shared" si="21"/>
        <v>0</v>
      </c>
      <c r="C65" s="201" t="s">
        <v>23</v>
      </c>
      <c r="D65" s="202">
        <f t="shared" si="23"/>
        <v>1</v>
      </c>
      <c r="E65" s="59" t="s">
        <v>18</v>
      </c>
      <c r="F65" s="203">
        <f t="shared" si="22"/>
        <v>1</v>
      </c>
      <c r="G65" s="72" t="s">
        <v>23</v>
      </c>
      <c r="H65" s="204"/>
    </row>
    <row r="66" spans="1:8" ht="14.25">
      <c r="A66" s="178" t="s">
        <v>8</v>
      </c>
      <c r="B66" s="231">
        <f t="shared" si="21"/>
        <v>0</v>
      </c>
      <c r="C66" s="201" t="s">
        <v>23</v>
      </c>
      <c r="D66" s="202">
        <f t="shared" si="23"/>
        <v>1</v>
      </c>
      <c r="E66" s="59" t="s">
        <v>18</v>
      </c>
      <c r="F66" s="203">
        <f t="shared" si="22"/>
        <v>1</v>
      </c>
      <c r="G66" s="72" t="s">
        <v>23</v>
      </c>
      <c r="H66" s="204"/>
    </row>
    <row r="67" spans="1:8" ht="14.25">
      <c r="A67" s="178" t="s">
        <v>11</v>
      </c>
      <c r="B67" s="231">
        <f t="shared" si="21"/>
        <v>0</v>
      </c>
      <c r="C67" s="201" t="s">
        <v>23</v>
      </c>
      <c r="D67" s="202">
        <f t="shared" si="23"/>
        <v>1</v>
      </c>
      <c r="E67" s="59" t="s">
        <v>18</v>
      </c>
      <c r="F67" s="203">
        <f t="shared" si="22"/>
        <v>1</v>
      </c>
      <c r="G67" s="72" t="s">
        <v>23</v>
      </c>
      <c r="H67" s="204"/>
    </row>
    <row r="68" spans="1:8" ht="14.25">
      <c r="A68" s="179" t="s">
        <v>70</v>
      </c>
      <c r="B68" s="231">
        <f t="shared" si="21"/>
        <v>0</v>
      </c>
      <c r="C68" s="201" t="s">
        <v>23</v>
      </c>
      <c r="D68" s="202">
        <f t="shared" si="23"/>
        <v>1</v>
      </c>
      <c r="E68" s="59" t="s">
        <v>18</v>
      </c>
      <c r="F68" s="203">
        <f t="shared" si="22"/>
        <v>1</v>
      </c>
      <c r="G68" s="72" t="s">
        <v>23</v>
      </c>
      <c r="H68" s="204"/>
    </row>
    <row r="69" spans="1:8" ht="14.25">
      <c r="A69" s="179" t="s">
        <v>16</v>
      </c>
      <c r="B69" s="231">
        <f t="shared" si="21"/>
        <v>0</v>
      </c>
      <c r="C69" s="201" t="s">
        <v>23</v>
      </c>
      <c r="D69" s="202">
        <f t="shared" si="23"/>
        <v>1</v>
      </c>
      <c r="E69" s="59" t="s">
        <v>18</v>
      </c>
      <c r="F69" s="203">
        <f t="shared" si="22"/>
        <v>1</v>
      </c>
      <c r="G69" s="72" t="s">
        <v>23</v>
      </c>
      <c r="H69" s="204"/>
    </row>
    <row r="70" spans="1:8" ht="14.25">
      <c r="A70" s="177" t="s">
        <v>71</v>
      </c>
      <c r="B70" s="231">
        <f t="shared" si="21"/>
        <v>0</v>
      </c>
      <c r="C70" s="201" t="s">
        <v>23</v>
      </c>
      <c r="D70" s="202">
        <f t="shared" si="23"/>
        <v>1</v>
      </c>
      <c r="E70" s="59" t="s">
        <v>18</v>
      </c>
      <c r="F70" s="203">
        <f t="shared" si="22"/>
        <v>1</v>
      </c>
      <c r="G70" s="72" t="s">
        <v>23</v>
      </c>
      <c r="H70" s="204"/>
    </row>
    <row r="71" spans="1:8" ht="14.25">
      <c r="A71" s="178" t="s">
        <v>12</v>
      </c>
      <c r="B71" s="231">
        <f t="shared" si="21"/>
        <v>0</v>
      </c>
      <c r="C71" s="201" t="s">
        <v>23</v>
      </c>
      <c r="D71" s="202">
        <f t="shared" si="23"/>
        <v>1</v>
      </c>
      <c r="E71" s="59" t="s">
        <v>18</v>
      </c>
      <c r="F71" s="203">
        <f t="shared" si="22"/>
        <v>1</v>
      </c>
      <c r="G71" s="72" t="s">
        <v>23</v>
      </c>
      <c r="H71" s="204"/>
    </row>
    <row r="72" spans="1:8" ht="14.25">
      <c r="A72" s="178" t="s">
        <v>10</v>
      </c>
      <c r="B72" s="231">
        <f t="shared" si="21"/>
        <v>0</v>
      </c>
      <c r="C72" s="201" t="s">
        <v>23</v>
      </c>
      <c r="D72" s="202">
        <f t="shared" si="23"/>
        <v>1</v>
      </c>
      <c r="E72" s="59" t="s">
        <v>18</v>
      </c>
      <c r="F72" s="203">
        <f t="shared" si="22"/>
        <v>1</v>
      </c>
      <c r="G72" s="72" t="s">
        <v>23</v>
      </c>
      <c r="H72" s="204"/>
    </row>
    <row r="73" spans="1:8" ht="14.25">
      <c r="A73" s="179" t="s">
        <v>72</v>
      </c>
      <c r="B73" s="231">
        <f t="shared" si="21"/>
        <v>0</v>
      </c>
      <c r="C73" s="201" t="s">
        <v>23</v>
      </c>
      <c r="D73" s="202">
        <f t="shared" si="23"/>
        <v>1</v>
      </c>
      <c r="E73" s="59" t="s">
        <v>18</v>
      </c>
      <c r="F73" s="203">
        <f t="shared" si="22"/>
        <v>1</v>
      </c>
      <c r="G73" s="72" t="s">
        <v>23</v>
      </c>
      <c r="H73" s="204"/>
    </row>
    <row r="74" spans="1:8" ht="14.25">
      <c r="A74" s="179" t="s">
        <v>73</v>
      </c>
      <c r="B74" s="231">
        <f t="shared" si="21"/>
        <v>0</v>
      </c>
      <c r="C74" s="201" t="s">
        <v>23</v>
      </c>
      <c r="D74" s="202">
        <f t="shared" si="23"/>
        <v>1</v>
      </c>
      <c r="E74" s="59" t="s">
        <v>18</v>
      </c>
      <c r="F74" s="203">
        <f t="shared" si="22"/>
        <v>1</v>
      </c>
      <c r="G74" s="72" t="s">
        <v>23</v>
      </c>
      <c r="H74" s="204"/>
    </row>
    <row r="75" spans="1:8" ht="14.25">
      <c r="A75" s="180" t="s">
        <v>74</v>
      </c>
      <c r="B75" s="231">
        <f t="shared" si="21"/>
        <v>0</v>
      </c>
      <c r="C75" s="201" t="s">
        <v>23</v>
      </c>
      <c r="D75" s="202">
        <f t="shared" si="23"/>
        <v>1</v>
      </c>
      <c r="E75" s="59" t="s">
        <v>18</v>
      </c>
      <c r="F75" s="203">
        <f t="shared" si="22"/>
        <v>1</v>
      </c>
      <c r="G75" s="72" t="s">
        <v>23</v>
      </c>
      <c r="H75" s="204"/>
    </row>
    <row r="76" spans="1:8" ht="14.25">
      <c r="A76" s="179" t="s">
        <v>75</v>
      </c>
      <c r="B76" s="231">
        <f t="shared" si="21"/>
        <v>0</v>
      </c>
      <c r="C76" s="201" t="s">
        <v>23</v>
      </c>
      <c r="D76" s="202">
        <f t="shared" si="23"/>
        <v>1</v>
      </c>
      <c r="E76" s="59" t="s">
        <v>18</v>
      </c>
      <c r="F76" s="203">
        <f t="shared" si="22"/>
        <v>1</v>
      </c>
      <c r="G76" s="72" t="s">
        <v>23</v>
      </c>
      <c r="H76" s="204"/>
    </row>
    <row r="77" spans="1:8" ht="14.25">
      <c r="A77" s="180" t="s">
        <v>78</v>
      </c>
      <c r="B77" s="231">
        <f t="shared" si="21"/>
        <v>0</v>
      </c>
      <c r="C77" s="201" t="s">
        <v>23</v>
      </c>
      <c r="D77" s="202">
        <f t="shared" si="23"/>
        <v>1</v>
      </c>
      <c r="E77" s="59" t="s">
        <v>18</v>
      </c>
      <c r="F77" s="203">
        <f t="shared" si="22"/>
        <v>1</v>
      </c>
      <c r="G77" s="72" t="s">
        <v>23</v>
      </c>
      <c r="H77" s="204"/>
    </row>
    <row r="78" spans="1:8" ht="14.25">
      <c r="A78" s="175" t="s">
        <v>14</v>
      </c>
      <c r="B78" s="231">
        <f t="shared" si="21"/>
        <v>0</v>
      </c>
      <c r="C78" s="201" t="s">
        <v>23</v>
      </c>
      <c r="D78" s="202">
        <f t="shared" si="23"/>
        <v>1</v>
      </c>
      <c r="E78" s="59" t="s">
        <v>18</v>
      </c>
      <c r="F78" s="203">
        <f t="shared" si="22"/>
        <v>1</v>
      </c>
      <c r="G78" s="72" t="s">
        <v>23</v>
      </c>
      <c r="H78" s="204"/>
    </row>
    <row r="79" spans="1:8" ht="14.25">
      <c r="A79" s="175" t="s">
        <v>79</v>
      </c>
      <c r="B79" s="231">
        <f t="shared" si="21"/>
        <v>0</v>
      </c>
      <c r="C79" s="201" t="s">
        <v>23</v>
      </c>
      <c r="D79" s="202">
        <f t="shared" si="23"/>
        <v>1</v>
      </c>
      <c r="E79" s="59" t="s">
        <v>18</v>
      </c>
      <c r="F79" s="203">
        <f t="shared" si="22"/>
        <v>1</v>
      </c>
      <c r="G79" s="72" t="s">
        <v>23</v>
      </c>
      <c r="H79" s="204"/>
    </row>
    <row r="80" spans="1:8" ht="14.25">
      <c r="A80" s="175" t="s">
        <v>15</v>
      </c>
      <c r="B80" s="231">
        <f t="shared" si="21"/>
        <v>0</v>
      </c>
      <c r="C80" s="201" t="s">
        <v>23</v>
      </c>
      <c r="D80" s="202">
        <f t="shared" si="23"/>
        <v>1</v>
      </c>
      <c r="E80" s="59" t="s">
        <v>18</v>
      </c>
      <c r="F80" s="203">
        <f t="shared" si="22"/>
        <v>1</v>
      </c>
      <c r="G80" s="72" t="s">
        <v>23</v>
      </c>
      <c r="H80" s="204"/>
    </row>
    <row r="81" spans="1:17" ht="14.25">
      <c r="A81" s="175" t="s">
        <v>80</v>
      </c>
      <c r="B81" s="231">
        <f t="shared" si="21"/>
        <v>0</v>
      </c>
      <c r="C81" s="201" t="s">
        <v>23</v>
      </c>
      <c r="D81" s="202">
        <f t="shared" si="23"/>
        <v>1</v>
      </c>
      <c r="E81" s="59" t="s">
        <v>18</v>
      </c>
      <c r="F81" s="203">
        <f t="shared" si="22"/>
        <v>1</v>
      </c>
      <c r="G81" s="72" t="s">
        <v>23</v>
      </c>
      <c r="H81" s="204"/>
    </row>
    <row r="82" spans="1:17" ht="14.25">
      <c r="A82" s="175" t="s">
        <v>59</v>
      </c>
      <c r="B82" s="231" t="e">
        <f t="shared" ref="B82:B85" si="24">SUM(D49,H49,L49,P49,T49,X49,AB49,AF49,AJ49,AN49,AR49,AV49,AZ49,BD49,BH49,BL49,BP49,BT49,BX49,CB49)</f>
        <v>#NUM!</v>
      </c>
      <c r="C82" s="201" t="s">
        <v>23</v>
      </c>
      <c r="D82" s="202" t="e">
        <f t="shared" si="23"/>
        <v>#NUM!</v>
      </c>
      <c r="E82" s="59" t="s">
        <v>18</v>
      </c>
      <c r="F82" s="203">
        <f t="shared" ref="F82:F85" si="25">(B49*$B$25)+(F49*$F$25)+(J49*$J$25)+(N49*$N$25)+(R49*$R$25)+(V49*$V$25)+(Z49*$Z$25)+(AD49*$AD$25)+(AH49*$AH$25)+(AL49*$AL$25)+(AP49*$AP$25)+(AT49*$AT$25)+(AX49*$AX$25)+(BB49*$BB$25)+(BF49*$BF$25)+(BJ49*$BJ$25)+(BN49*$BN$25)+(BR49*$BR$25)+(BV49*$BV$25)+(BZ49*$BZ$25)</f>
        <v>1</v>
      </c>
      <c r="G82" s="72" t="s">
        <v>23</v>
      </c>
      <c r="H82" s="204"/>
    </row>
    <row r="83" spans="1:17" ht="14.25">
      <c r="A83" s="181" t="s">
        <v>60</v>
      </c>
      <c r="B83" s="231" t="e">
        <f t="shared" si="24"/>
        <v>#NUM!</v>
      </c>
      <c r="C83" s="201" t="s">
        <v>23</v>
      </c>
      <c r="D83" s="202" t="e">
        <f t="shared" si="23"/>
        <v>#NUM!</v>
      </c>
      <c r="E83" s="59" t="s">
        <v>18</v>
      </c>
      <c r="F83" s="203">
        <f t="shared" si="25"/>
        <v>1</v>
      </c>
      <c r="G83" s="72" t="s">
        <v>23</v>
      </c>
      <c r="H83" s="204"/>
    </row>
    <row r="84" spans="1:17" ht="14.25">
      <c r="A84" s="175" t="s">
        <v>61</v>
      </c>
      <c r="B84" s="231" t="e">
        <f t="shared" si="24"/>
        <v>#NUM!</v>
      </c>
      <c r="C84" s="201" t="s">
        <v>23</v>
      </c>
      <c r="D84" s="202" t="e">
        <f t="shared" si="23"/>
        <v>#NUM!</v>
      </c>
      <c r="E84" s="59" t="s">
        <v>18</v>
      </c>
      <c r="F84" s="203">
        <f t="shared" si="25"/>
        <v>1</v>
      </c>
      <c r="G84" s="72" t="s">
        <v>23</v>
      </c>
    </row>
    <row r="85" spans="1:17" ht="14.25">
      <c r="A85" s="65" t="s">
        <v>256</v>
      </c>
      <c r="B85" s="231">
        <f t="shared" si="24"/>
        <v>0</v>
      </c>
      <c r="C85" s="72" t="s">
        <v>23</v>
      </c>
      <c r="D85" s="202">
        <f t="shared" si="23"/>
        <v>1</v>
      </c>
      <c r="E85" s="59" t="s">
        <v>18</v>
      </c>
      <c r="F85" s="203">
        <f t="shared" si="25"/>
        <v>1</v>
      </c>
      <c r="G85" s="72" t="s">
        <v>23</v>
      </c>
    </row>
    <row r="86" spans="1:17">
      <c r="A86" s="212"/>
      <c r="B86" s="217"/>
      <c r="C86" s="89"/>
      <c r="D86" s="218"/>
      <c r="E86" s="185"/>
      <c r="F86" s="219"/>
      <c r="G86" s="89"/>
    </row>
    <row r="87" spans="1:17">
      <c r="B87" s="200"/>
      <c r="C87" s="200"/>
      <c r="D87" s="200"/>
      <c r="E87" s="200"/>
      <c r="F87" s="200"/>
      <c r="G87" s="200"/>
    </row>
    <row r="92" spans="1:17" ht="45">
      <c r="A92" s="205" t="s">
        <v>62</v>
      </c>
      <c r="B92" s="206" t="s">
        <v>194</v>
      </c>
      <c r="C92" s="206" t="s">
        <v>226</v>
      </c>
      <c r="D92" s="206" t="s">
        <v>195</v>
      </c>
      <c r="E92" s="206" t="s">
        <v>196</v>
      </c>
      <c r="F92" s="206" t="s">
        <v>227</v>
      </c>
      <c r="G92" s="206" t="s">
        <v>197</v>
      </c>
      <c r="H92" s="206" t="s">
        <v>228</v>
      </c>
      <c r="I92" s="206" t="s">
        <v>198</v>
      </c>
      <c r="J92" s="206" t="s">
        <v>229</v>
      </c>
      <c r="K92" s="207" t="s">
        <v>199</v>
      </c>
      <c r="L92" s="207" t="s">
        <v>230</v>
      </c>
    </row>
    <row r="93" spans="1:17">
      <c r="A93" s="60" t="s">
        <v>17</v>
      </c>
      <c r="B93" s="208">
        <f>IF(ISNUMBER('Chemical Properties'!E41),IF(0.035*LN('Chemical Properties'!E41)+0.4079&gt;1,1,IF(0.035*LN('Chemical Properties'!E41)+0.4079&lt;0,0,0.035*LN('Chemical Properties'!E41)+0.4079)),IF(0.035*LN('Chemical Properties'!E4)+0.4079&gt;1,1,IF(0.035*LN('Chemical Properties'!E4)+0.4079&lt;0,0,0.035*LN('Chemical Properties'!E4)+0.4079)))</f>
        <v>0</v>
      </c>
      <c r="C93" s="209">
        <f>B93*(1-$B$17/100)</f>
        <v>0</v>
      </c>
      <c r="D93" s="208">
        <f>IF(ISNUMBER('Chemical Properties'!E41),IF(0.005*LN('Chemical Properties'!E41)+0.0658&gt;1,1,IF(0.005*LN('Chemical Properties'!E41)+0.0658&lt;0,0,0.005*LN('Chemical Properties'!E41)+0.0658)),IF(0.005*LN('Chemical Properties'!E4)+0.0658&gt;1,1,IF(0.005*LN('Chemical Properties'!E4)+0.0658&lt;0,0,0.005*LN('Chemical Properties'!E4)+0.0658)))</f>
        <v>4.2980833749929268E-3</v>
      </c>
      <c r="E93" s="208">
        <f>IF(ISNUMBER('Chemical Properties'!E41),IF(0.009*LN('Chemical Properties'!E41)+0.1036&gt;1,1,IF(0.009*LN('Chemical Properties'!E41)+0.1036&lt;0,0,0.009*LN('Chemical Properties'!E41)+0.1036)),IF(0.009*LN('Chemical Properties'!E4)+0.1036&gt;1,1,IF(0.009*LN('Chemical Properties'!E4)+0.1036&lt;0,0,0.009*LN('Chemical Properties'!E4)+0.1036)))</f>
        <v>0</v>
      </c>
      <c r="F93" s="209">
        <f>E93*(1-$B$18/100)</f>
        <v>0</v>
      </c>
      <c r="G93" s="208">
        <f>IF(ISNUMBER('Chemical Properties'!E41),IF(0.0105*LN('Chemical Properties'!E41)+0.1416&gt;1,1,IF(0.0105*LN('Chemical Properties'!E41)+0.1416&lt;0,0,0.0105*LN('Chemical Properties'!E41)+0.1416)),IF(0.0105*LN('Chemical Properties'!E4)+0.1416&gt;1,1,IF(0.0105*LN('Chemical Properties'!E4)+0.1416&lt;0,0,0.0105*LN('Chemical Properties'!E4)+0.1416)))</f>
        <v>1.2445975087485156E-2</v>
      </c>
      <c r="H93" s="209">
        <f>G93*(1-$B$19/100)</f>
        <v>6.2229875437425834E-4</v>
      </c>
      <c r="I93" s="208">
        <f>IF(ISNUMBER('Chemical Properties'!E41),IF(0.0312*LN('Chemical Properties'!E41)+0.4163&gt;1,1,IF(0.0312*LN('Chemical Properties'!E41)+0.4163&lt;0,0,0.0312*LN('Chemical Properties'!E41)+0.4163)),IF(0.0312*LN('Chemical Properties'!E4)+0.4163&gt;1,1,IF(0.0312*LN('Chemical Properties'!E4)+0.4163&lt;0,0,0.0312*LN('Chemical Properties'!E4)+0.4163)))</f>
        <v>3.252804025995587E-2</v>
      </c>
      <c r="J93" s="209">
        <f>I93*(1-$B$20/100)</f>
        <v>1.626402012997795E-3</v>
      </c>
      <c r="K93" s="208">
        <f>IF(ISNUMBER('Chemical Properties'!E41),IF(0.0004*LN('Chemical Properties'!E41)+0.007&gt;1,1,IF(0.0004*LN('Chemical Properties'!E41)+0.007&lt;0,0,0.0004*LN('Chemical Properties'!E41)+0.007)),IF(0.0004*LN('Chemical Properties'!E4)+0.007&gt;1,1,IF(0.0004*LN('Chemical Properties'!E4)+0.007&lt;0,0,0.0004*LN('Chemical Properties'!E4)+0.007)))</f>
        <v>2.0798466699994342E-3</v>
      </c>
      <c r="L93" s="209">
        <f>K93*(1-$B$21/100)</f>
        <v>1.039923334999718E-4</v>
      </c>
      <c r="Q93" s="210"/>
    </row>
    <row r="94" spans="1:17">
      <c r="A94" s="62" t="s">
        <v>6</v>
      </c>
      <c r="B94" s="208">
        <f>IF(ISNUMBER('Chemical Properties'!E42),IF(0.035*LN('Chemical Properties'!E42)+0.4079&gt;1,1,IF(0.035*LN('Chemical Properties'!E42)+0.4079&lt;0,0,0.035*LN('Chemical Properties'!E42)+0.4079)),IF(0.035*LN('Chemical Properties'!E5)+0.4079&gt;1,1,IF(0.035*LN('Chemical Properties'!E5)+0.4079&lt;0,0,0.035*LN('Chemical Properties'!E5)+0.4079)))</f>
        <v>0.22629569183586831</v>
      </c>
      <c r="C94" s="209">
        <f t="shared" ref="C94:C118" si="26">B94*(1-$B$17/100)</f>
        <v>1.1314784591793426E-2</v>
      </c>
      <c r="D94" s="208">
        <f>IF(ISNUMBER('Chemical Properties'!E42),IF(0.005*LN('Chemical Properties'!E42)+0.0658&gt;1,1,IF(0.005*LN('Chemical Properties'!E42)+0.0658&lt;0,0,0.005*LN('Chemical Properties'!E42)+0.0658)),IF(0.005*LN('Chemical Properties'!E5)+0.0658&gt;1,1,IF(0.005*LN('Chemical Properties'!E5)+0.0658&lt;0,0,0.005*LN('Chemical Properties'!E5)+0.0658)))</f>
        <v>3.9856527405124048E-2</v>
      </c>
      <c r="E94" s="208">
        <f>IF(ISNUMBER('Chemical Properties'!E42),IF(0.009*LN('Chemical Properties'!E42)+0.1036&gt;1,1,IF(0.009*LN('Chemical Properties'!E42)+0.1036&lt;0,0,0.009*LN('Chemical Properties'!E42)+0.1036)),IF(0.009*LN('Chemical Properties'!E5)+0.1036&gt;1,1,IF(0.009*LN('Chemical Properties'!E5)+0.1036&lt;0,0,0.009*LN('Chemical Properties'!E5)+0.1036)))</f>
        <v>5.6901749329223296E-2</v>
      </c>
      <c r="F94" s="209">
        <f t="shared" ref="F94:F118" si="27">E94*(1-$B$18/100)</f>
        <v>2.8450874664611675E-3</v>
      </c>
      <c r="G94" s="208">
        <f>IF(ISNUMBER('Chemical Properties'!E42),IF(0.0105*LN('Chemical Properties'!E42)+0.1416&gt;1,1,IF(0.0105*LN('Chemical Properties'!E42)+0.1416&lt;0,0,0.0105*LN('Chemical Properties'!E42)+0.1416)),IF(0.0105*LN('Chemical Properties'!E5)+0.1416&gt;1,1,IF(0.0105*LN('Chemical Properties'!E5)+0.1416&lt;0,0,0.0105*LN('Chemical Properties'!E5)+0.1416)))</f>
        <v>8.711870755076051E-2</v>
      </c>
      <c r="H94" s="209">
        <f t="shared" ref="H94:H118" si="28">G94*(1-$B$19/100)</f>
        <v>4.3559353775380295E-3</v>
      </c>
      <c r="I94" s="208">
        <f>IF(ISNUMBER('Chemical Properties'!E42),IF(0.0312*LN('Chemical Properties'!E42)+0.4163&gt;1,1,IF(0.0312*LN('Chemical Properties'!E42)+0.4163&lt;0,0,0.0312*LN('Chemical Properties'!E42)+0.4163)),IF(0.0312*LN('Chemical Properties'!E5)+0.4163&gt;1,1,IF(0.0312*LN('Chemical Properties'!E5)+0.4163&lt;0,0,0.0312*LN('Chemical Properties'!E5)+0.4163)))</f>
        <v>0.25441273100797412</v>
      </c>
      <c r="J94" s="209">
        <f t="shared" ref="J94:J118" si="29">I94*(1-$B$20/100)</f>
        <v>1.2720636550398718E-2</v>
      </c>
      <c r="K94" s="208">
        <f>IF(ISNUMBER('Chemical Properties'!E42),IF(0.0004*LN('Chemical Properties'!E42)+0.007&gt;1,1,IF(0.0004*LN('Chemical Properties'!E42)+0.007&lt;0,0,0.0004*LN('Chemical Properties'!E42)+0.007)),IF(0.0004*LN('Chemical Properties'!E5)+0.007&gt;1,1,IF(0.0004*LN('Chemical Properties'!E5)+0.007&lt;0,0,0.0004*LN('Chemical Properties'!E5)+0.007)))</f>
        <v>4.9245221924099237E-3</v>
      </c>
      <c r="L94" s="209">
        <f t="shared" ref="L94:L118" si="30">K94*(1-$B$21/100)</f>
        <v>2.4622610962049638E-4</v>
      </c>
      <c r="Q94" s="210"/>
    </row>
    <row r="95" spans="1:17">
      <c r="A95" s="62" t="s">
        <v>13</v>
      </c>
      <c r="B95" s="208">
        <f>IF(ISNUMBER('Chemical Properties'!E43),IF(0.035*LN('Chemical Properties'!E43)+0.4079&gt;1,1,IF(0.035*LN('Chemical Properties'!E43)+0.4079&lt;0,0,0.035*LN('Chemical Properties'!E43)+0.4079)),IF(0.035*LN('Chemical Properties'!E6)+0.4079&gt;1,1,IF(0.035*LN('Chemical Properties'!E6)+0.4079&lt;0,0,0.035*LN('Chemical Properties'!E6)+0.4079)))</f>
        <v>0.2854304192019837</v>
      </c>
      <c r="C95" s="209">
        <f t="shared" si="26"/>
        <v>1.4271520960099197E-2</v>
      </c>
      <c r="D95" s="208">
        <f>IF(ISNUMBER('Chemical Properties'!E43),IF(0.005*LN('Chemical Properties'!E43)+0.0658&gt;1,1,IF(0.005*LN('Chemical Properties'!E43)+0.0658&lt;0,0,0.005*LN('Chemical Properties'!E43)+0.0658)),IF(0.005*LN('Chemical Properties'!E6)+0.0658&gt;1,1,IF(0.005*LN('Chemical Properties'!E6)+0.0658&lt;0,0,0.005*LN('Chemical Properties'!E6)+0.0658)))</f>
        <v>4.8304345600283391E-2</v>
      </c>
      <c r="E95" s="208">
        <f>IF(ISNUMBER('Chemical Properties'!E43),IF(0.009*LN('Chemical Properties'!E43)+0.1036&gt;1,1,IF(0.009*LN('Chemical Properties'!E43)+0.1036&lt;0,0,0.009*LN('Chemical Properties'!E43)+0.1036)),IF(0.009*LN('Chemical Properties'!E6)+0.1036&gt;1,1,IF(0.009*LN('Chemical Properties'!E6)+0.1036&lt;0,0,0.009*LN('Chemical Properties'!E6)+0.1036)))</f>
        <v>7.2107822080510101E-2</v>
      </c>
      <c r="F95" s="209">
        <f t="shared" si="27"/>
        <v>3.6053911040255082E-3</v>
      </c>
      <c r="G95" s="208">
        <f>IF(ISNUMBER('Chemical Properties'!E43),IF(0.0105*LN('Chemical Properties'!E43)+0.1416&gt;1,1,IF(0.0105*LN('Chemical Properties'!E43)+0.1416&lt;0,0,0.0105*LN('Chemical Properties'!E43)+0.1416)),IF(0.0105*LN('Chemical Properties'!E6)+0.1416&gt;1,1,IF(0.0105*LN('Chemical Properties'!E6)+0.1416&lt;0,0,0.0105*LN('Chemical Properties'!E6)+0.1416)))</f>
        <v>0.10485912576059511</v>
      </c>
      <c r="H95" s="209">
        <f t="shared" si="28"/>
        <v>5.2429562880297606E-3</v>
      </c>
      <c r="I95" s="208">
        <f>IF(ISNUMBER('Chemical Properties'!E43),IF(0.0312*LN('Chemical Properties'!E43)+0.4163&gt;1,1,IF(0.0312*LN('Chemical Properties'!E43)+0.4163&lt;0,0,0.0312*LN('Chemical Properties'!E43)+0.4163)),IF(0.0312*LN('Chemical Properties'!E6)+0.4163&gt;1,1,IF(0.0312*LN('Chemical Properties'!E6)+0.4163&lt;0,0,0.0312*LN('Chemical Properties'!E6)+0.4163)))</f>
        <v>0.30712711654576835</v>
      </c>
      <c r="J95" s="209">
        <f t="shared" si="29"/>
        <v>1.5356355827288431E-2</v>
      </c>
      <c r="K95" s="208">
        <f>IF(ISNUMBER('Chemical Properties'!E43),IF(0.0004*LN('Chemical Properties'!E43)+0.007&gt;1,1,IF(0.0004*LN('Chemical Properties'!E43)+0.007&lt;0,0,0.0004*LN('Chemical Properties'!E43)+0.007)),IF(0.0004*LN('Chemical Properties'!E6)+0.007&gt;1,1,IF(0.0004*LN('Chemical Properties'!E6)+0.007&lt;0,0,0.0004*LN('Chemical Properties'!E6)+0.007)))</f>
        <v>5.6003476480226714E-3</v>
      </c>
      <c r="L95" s="209">
        <f t="shared" si="30"/>
        <v>2.8001738240113384E-4</v>
      </c>
      <c r="Q95" s="210"/>
    </row>
    <row r="96" spans="1:17">
      <c r="A96" s="60" t="s">
        <v>69</v>
      </c>
      <c r="B96" s="208">
        <f>IF(ISNUMBER('Chemical Properties'!E44),IF(0.035*LN('Chemical Properties'!E44)+0.4079&gt;1,1,IF(0.035*LN('Chemical Properties'!E44)+0.4079&lt;0,0,0.035*LN('Chemical Properties'!E44)+0.4079)),IF(0.035*LN('Chemical Properties'!E7)+0.4079&gt;1,1,IF(0.035*LN('Chemical Properties'!E7)+0.4079&lt;0,0,0.035*LN('Chemical Properties'!E7)+0.4079)))</f>
        <v>6.5181883776887217E-2</v>
      </c>
      <c r="C96" s="209">
        <f t="shared" si="26"/>
        <v>3.2590941888443639E-3</v>
      </c>
      <c r="D96" s="208">
        <f>IF(ISNUMBER('Chemical Properties'!E44),IF(0.005*LN('Chemical Properties'!E44)+0.0658&gt;1,1,IF(0.005*LN('Chemical Properties'!E44)+0.0658&lt;0,0,0.005*LN('Chemical Properties'!E44)+0.0658)),IF(0.005*LN('Chemical Properties'!E7)+0.0658&gt;1,1,IF(0.005*LN('Chemical Properties'!E7)+0.0658&lt;0,0,0.005*LN('Chemical Properties'!E7)+0.0658)))</f>
        <v>1.6840269110983894E-2</v>
      </c>
      <c r="E96" s="208">
        <f>IF(ISNUMBER('Chemical Properties'!E44),IF(0.009*LN('Chemical Properties'!E44)+0.1036&gt;1,1,IF(0.009*LN('Chemical Properties'!E44)+0.1036&lt;0,0,0.009*LN('Chemical Properties'!E44)+0.1036)),IF(0.009*LN('Chemical Properties'!E7)+0.1036&gt;1,1,IF(0.009*LN('Chemical Properties'!E7)+0.1036&lt;0,0,0.009*LN('Chemical Properties'!E7)+0.1036)))</f>
        <v>1.5472484399771017E-2</v>
      </c>
      <c r="F96" s="209">
        <f t="shared" si="27"/>
        <v>7.7362421998855156E-4</v>
      </c>
      <c r="G96" s="208">
        <f>IF(ISNUMBER('Chemical Properties'!E44),IF(0.0105*LN('Chemical Properties'!E44)+0.1416&gt;1,1,IF(0.0105*LN('Chemical Properties'!E44)+0.1416&lt;0,0,0.0105*LN('Chemical Properties'!E44)+0.1416)),IF(0.0105*LN('Chemical Properties'!E7)+0.1416&gt;1,1,IF(0.0105*LN('Chemical Properties'!E7)+0.1416&lt;0,0,0.0105*LN('Chemical Properties'!E7)+0.1416)))</f>
        <v>3.8784565133066176E-2</v>
      </c>
      <c r="H96" s="209">
        <f t="shared" si="28"/>
        <v>1.9392282566533105E-3</v>
      </c>
      <c r="I96" s="208">
        <f>IF(ISNUMBER('Chemical Properties'!E44),IF(0.0312*LN('Chemical Properties'!E44)+0.4163&gt;1,1,IF(0.0312*LN('Chemical Properties'!E44)+0.4163&lt;0,0,0.0312*LN('Chemical Properties'!E44)+0.4163)),IF(0.0312*LN('Chemical Properties'!E7)+0.4163&gt;1,1,IF(0.0312*LN('Chemical Properties'!E7)+0.4163&lt;0,0,0.0312*LN('Chemical Properties'!E7)+0.4163)))</f>
        <v>0.11079127925253957</v>
      </c>
      <c r="J96" s="209">
        <f t="shared" si="29"/>
        <v>5.5395639626269833E-3</v>
      </c>
      <c r="K96" s="208">
        <f>IF(ISNUMBER('Chemical Properties'!E44),IF(0.0004*LN('Chemical Properties'!E44)+0.007&gt;1,1,IF(0.0004*LN('Chemical Properties'!E44)+0.007&lt;0,0,0.0004*LN('Chemical Properties'!E44)+0.007)),IF(0.0004*LN('Chemical Properties'!E7)+0.007&gt;1,1,IF(0.0004*LN('Chemical Properties'!E7)+0.007&lt;0,0,0.0004*LN('Chemical Properties'!E7)+0.007)))</f>
        <v>3.0832215288787114E-3</v>
      </c>
      <c r="L96" s="209">
        <f t="shared" si="30"/>
        <v>1.541610764439357E-4</v>
      </c>
      <c r="Q96" s="210"/>
    </row>
    <row r="97" spans="1:17">
      <c r="A97" s="62" t="s">
        <v>9</v>
      </c>
      <c r="B97" s="208">
        <f>IF(ISNUMBER('Chemical Properties'!E45),IF(0.035*LN('Chemical Properties'!E45)+0.4079&gt;1,1,IF(0.035*LN('Chemical Properties'!E45)+0.4079&lt;0,0,0.035*LN('Chemical Properties'!E45)+0.4079)),IF(0.035*LN('Chemical Properties'!E8)+0.4079&gt;1,1,IF(0.035*LN('Chemical Properties'!E8)+0.4079&lt;0,0,0.035*LN('Chemical Properties'!E8)+0.4079)))</f>
        <v>0.14065771334909039</v>
      </c>
      <c r="C97" s="209">
        <f t="shared" si="26"/>
        <v>7.0328856674545257E-3</v>
      </c>
      <c r="D97" s="208">
        <f>IF(ISNUMBER('Chemical Properties'!E45),IF(0.005*LN('Chemical Properties'!E45)+0.0658&gt;1,1,IF(0.005*LN('Chemical Properties'!E45)+0.0658&lt;0,0,0.005*LN('Chemical Properties'!E45)+0.0658)),IF(0.005*LN('Chemical Properties'!E8)+0.0658&gt;1,1,IF(0.005*LN('Chemical Properties'!E8)+0.0658&lt;0,0,0.005*LN('Chemical Properties'!E8)+0.0658)))</f>
        <v>2.7622530478441487E-2</v>
      </c>
      <c r="E97" s="208">
        <f>IF(ISNUMBER('Chemical Properties'!E45),IF(0.009*LN('Chemical Properties'!E45)+0.1036&gt;1,1,IF(0.009*LN('Chemical Properties'!E45)+0.1036&lt;0,0,0.009*LN('Chemical Properties'!E45)+0.1036)),IF(0.009*LN('Chemical Properties'!E8)+0.1036&gt;1,1,IF(0.009*LN('Chemical Properties'!E8)+0.1036&lt;0,0,0.009*LN('Chemical Properties'!E8)+0.1036)))</f>
        <v>3.4880554861194693E-2</v>
      </c>
      <c r="F97" s="209">
        <f t="shared" si="27"/>
        <v>1.7440277430597361E-3</v>
      </c>
      <c r="G97" s="208">
        <f>IF(ISNUMBER('Chemical Properties'!E45),IF(0.0105*LN('Chemical Properties'!E45)+0.1416&gt;1,1,IF(0.0105*LN('Chemical Properties'!E45)+0.1416&lt;0,0,0.0105*LN('Chemical Properties'!E45)+0.1416)),IF(0.0105*LN('Chemical Properties'!E8)+0.1416&gt;1,1,IF(0.0105*LN('Chemical Properties'!E8)+0.1416&lt;0,0,0.0105*LN('Chemical Properties'!E8)+0.1416)))</f>
        <v>6.1427314004727132E-2</v>
      </c>
      <c r="H97" s="209">
        <f t="shared" si="28"/>
        <v>3.0713657002363593E-3</v>
      </c>
      <c r="I97" s="208">
        <f>IF(ISNUMBER('Chemical Properties'!E45),IF(0.0312*LN('Chemical Properties'!E45)+0.4163&gt;1,1,IF(0.0312*LN('Chemical Properties'!E45)+0.4163&lt;0,0,0.0312*LN('Chemical Properties'!E45)+0.4163)),IF(0.0312*LN('Chemical Properties'!E8)+0.4163&gt;1,1,IF(0.0312*LN('Chemical Properties'!E8)+0.4163&lt;0,0,0.0312*LN('Chemical Properties'!E8)+0.4163)))</f>
        <v>0.17807259018547494</v>
      </c>
      <c r="J97" s="209">
        <f t="shared" si="29"/>
        <v>8.9036295092737548E-3</v>
      </c>
      <c r="K97" s="208">
        <f>IF(ISNUMBER('Chemical Properties'!E45),IF(0.0004*LN('Chemical Properties'!E45)+0.007&gt;1,1,IF(0.0004*LN('Chemical Properties'!E45)+0.007&lt;0,0,0.0004*LN('Chemical Properties'!E45)+0.007)),IF(0.0004*LN('Chemical Properties'!E8)+0.007&gt;1,1,IF(0.0004*LN('Chemical Properties'!E8)+0.007&lt;0,0,0.0004*LN('Chemical Properties'!E8)+0.007)))</f>
        <v>3.9458024382753188E-3</v>
      </c>
      <c r="L97" s="209">
        <f t="shared" si="30"/>
        <v>1.9729012191376611E-4</v>
      </c>
      <c r="Q97" s="210"/>
    </row>
    <row r="98" spans="1:17">
      <c r="A98" s="63" t="s">
        <v>7</v>
      </c>
      <c r="B98" s="208">
        <f>IF(ISNUMBER('Chemical Properties'!E46),IF(0.035*LN('Chemical Properties'!E46)+0.4079&gt;1,1,IF(0.035*LN('Chemical Properties'!E46)+0.4079&lt;0,0,0.035*LN('Chemical Properties'!E46)+0.4079)),IF(0.035*LN('Chemical Properties'!E9)+0.4079&gt;1,1,IF(0.035*LN('Chemical Properties'!E9)+0.4079&lt;0,0,0.035*LN('Chemical Properties'!E9)+0.4079)))</f>
        <v>0.25996431874062531</v>
      </c>
      <c r="C98" s="209">
        <f t="shared" si="26"/>
        <v>1.2998215937031278E-2</v>
      </c>
      <c r="D98" s="208">
        <f>IF(ISNUMBER('Chemical Properties'!E46),IF(0.005*LN('Chemical Properties'!E46)+0.0658&gt;1,1,IF(0.005*LN('Chemical Properties'!E46)+0.0658&lt;0,0,0.005*LN('Chemical Properties'!E46)+0.0658)),IF(0.005*LN('Chemical Properties'!E9)+0.0658&gt;1,1,IF(0.005*LN('Chemical Properties'!E9)+0.0658&lt;0,0,0.005*LN('Chemical Properties'!E9)+0.0658)))</f>
        <v>4.4666331248660762E-2</v>
      </c>
      <c r="E98" s="208">
        <f>IF(ISNUMBER('Chemical Properties'!E46),IF(0.009*LN('Chemical Properties'!E46)+0.1036&gt;1,1,IF(0.009*LN('Chemical Properties'!E46)+0.1036&lt;0,0,0.009*LN('Chemical Properties'!E46)+0.1036)),IF(0.009*LN('Chemical Properties'!E9)+0.1036&gt;1,1,IF(0.009*LN('Chemical Properties'!E9)+0.1036&lt;0,0,0.009*LN('Chemical Properties'!E9)+0.1036)))</f>
        <v>6.5559396247589385E-2</v>
      </c>
      <c r="F98" s="209">
        <f t="shared" si="27"/>
        <v>3.2779698123794722E-3</v>
      </c>
      <c r="G98" s="208">
        <f>IF(ISNUMBER('Chemical Properties'!E46),IF(0.0105*LN('Chemical Properties'!E46)+0.1416&gt;1,1,IF(0.0105*LN('Chemical Properties'!E46)+0.1416&lt;0,0,0.0105*LN('Chemical Properties'!E46)+0.1416)),IF(0.0105*LN('Chemical Properties'!E9)+0.1416&gt;1,1,IF(0.0105*LN('Chemical Properties'!E9)+0.1416&lt;0,0,0.0105*LN('Chemical Properties'!E9)+0.1416)))</f>
        <v>9.7219295622187618E-2</v>
      </c>
      <c r="H98" s="209">
        <f t="shared" si="28"/>
        <v>4.8609647811093852E-3</v>
      </c>
      <c r="I98" s="208">
        <f>IF(ISNUMBER('Chemical Properties'!E46),IF(0.0312*LN('Chemical Properties'!E46)+0.4163&gt;1,1,IF(0.0312*LN('Chemical Properties'!E46)+0.4163&lt;0,0,0.0312*LN('Chemical Properties'!E46)+0.4163)),IF(0.0312*LN('Chemical Properties'!E9)+0.4163&gt;1,1,IF(0.0312*LN('Chemical Properties'!E9)+0.4163&lt;0,0,0.0312*LN('Chemical Properties'!E9)+0.4163)))</f>
        <v>0.28442590699164316</v>
      </c>
      <c r="J98" s="209">
        <f t="shared" si="29"/>
        <v>1.4221295349582171E-2</v>
      </c>
      <c r="K98" s="208">
        <f>IF(ISNUMBER('Chemical Properties'!E46),IF(0.0004*LN('Chemical Properties'!E46)+0.007&gt;1,1,IF(0.0004*LN('Chemical Properties'!E46)+0.007&lt;0,0,0.0004*LN('Chemical Properties'!E46)+0.007)),IF(0.0004*LN('Chemical Properties'!E9)+0.007&gt;1,1,IF(0.0004*LN('Chemical Properties'!E9)+0.007&lt;0,0,0.0004*LN('Chemical Properties'!E9)+0.007)))</f>
        <v>5.3093064998928612E-3</v>
      </c>
      <c r="L98" s="209">
        <f t="shared" si="30"/>
        <v>2.6546532499464328E-4</v>
      </c>
      <c r="Q98" s="210"/>
    </row>
    <row r="99" spans="1:17">
      <c r="A99" s="62" t="s">
        <v>8</v>
      </c>
      <c r="B99" s="208">
        <f>IF(ISNUMBER('Chemical Properties'!E47),IF(0.035*LN('Chemical Properties'!E47)+0.4079&gt;1,1,IF(0.035*LN('Chemical Properties'!E47)+0.4079&lt;0,0,0.035*LN('Chemical Properties'!E47)+0.4079)),IF(0.035*LN('Chemical Properties'!E10)+0.4079&gt;1,1,IF(0.035*LN('Chemical Properties'!E10)+0.4079&lt;0,0,0.035*LN('Chemical Properties'!E10)+0.4079)))</f>
        <v>0.23838004187106773</v>
      </c>
      <c r="C99" s="209">
        <f t="shared" si="26"/>
        <v>1.1919002093553397E-2</v>
      </c>
      <c r="D99" s="208">
        <f>IF(ISNUMBER('Chemical Properties'!E47),IF(0.005*LN('Chemical Properties'!E47)+0.0658&gt;1,1,IF(0.005*LN('Chemical Properties'!E47)+0.0658&lt;0,0,0.005*LN('Chemical Properties'!E47)+0.0658)),IF(0.005*LN('Chemical Properties'!E10)+0.0658&gt;1,1,IF(0.005*LN('Chemical Properties'!E10)+0.0658&lt;0,0,0.005*LN('Chemical Properties'!E10)+0.0658)))</f>
        <v>4.1582863124438249E-2</v>
      </c>
      <c r="E99" s="208">
        <f>IF(ISNUMBER('Chemical Properties'!E47),IF(0.009*LN('Chemical Properties'!E47)+0.1036&gt;1,1,IF(0.009*LN('Chemical Properties'!E47)+0.1036&lt;0,0,0.009*LN('Chemical Properties'!E47)+0.1036)),IF(0.009*LN('Chemical Properties'!E10)+0.1036&gt;1,1,IF(0.009*LN('Chemical Properties'!E10)+0.1036&lt;0,0,0.009*LN('Chemical Properties'!E10)+0.1036)))</f>
        <v>6.0009153623988856E-2</v>
      </c>
      <c r="F99" s="209">
        <f t="shared" si="27"/>
        <v>3.0004576811994456E-3</v>
      </c>
      <c r="G99" s="208">
        <f>IF(ISNUMBER('Chemical Properties'!E47),IF(0.0105*LN('Chemical Properties'!E47)+0.1416&gt;1,1,IF(0.0105*LN('Chemical Properties'!E47)+0.1416&lt;0,0,0.0105*LN('Chemical Properties'!E47)+0.1416)),IF(0.0105*LN('Chemical Properties'!E10)+0.1416&gt;1,1,IF(0.0105*LN('Chemical Properties'!E10)+0.1416&lt;0,0,0.0105*LN('Chemical Properties'!E10)+0.1416)))</f>
        <v>9.0744012561320336E-2</v>
      </c>
      <c r="H99" s="209">
        <f t="shared" si="28"/>
        <v>4.537200628066021E-3</v>
      </c>
      <c r="I99" s="208">
        <f>IF(ISNUMBER('Chemical Properties'!E47),IF(0.0312*LN('Chemical Properties'!E47)+0.4163&gt;1,1,IF(0.0312*LN('Chemical Properties'!E47)+0.4163&lt;0,0,0.0312*LN('Chemical Properties'!E47)+0.4163)),IF(0.0312*LN('Chemical Properties'!E10)+0.4163&gt;1,1,IF(0.0312*LN('Chemical Properties'!E10)+0.4163&lt;0,0,0.0312*LN('Chemical Properties'!E10)+0.4163)))</f>
        <v>0.26518506589649471</v>
      </c>
      <c r="J99" s="209">
        <f t="shared" si="29"/>
        <v>1.3259253294824747E-2</v>
      </c>
      <c r="K99" s="208">
        <f>IF(ISNUMBER('Chemical Properties'!E47),IF(0.0004*LN('Chemical Properties'!E47)+0.007&gt;1,1,IF(0.0004*LN('Chemical Properties'!E47)+0.007&lt;0,0,0.0004*LN('Chemical Properties'!E47)+0.007)),IF(0.0004*LN('Chemical Properties'!E10)+0.007&gt;1,1,IF(0.0004*LN('Chemical Properties'!E10)+0.007&lt;0,0,0.0004*LN('Chemical Properties'!E10)+0.007)))</f>
        <v>5.06262904995506E-3</v>
      </c>
      <c r="L99" s="209">
        <f t="shared" si="30"/>
        <v>2.5313145249775322E-4</v>
      </c>
      <c r="Q99" s="210"/>
    </row>
    <row r="100" spans="1:17">
      <c r="A100" s="62" t="s">
        <v>11</v>
      </c>
      <c r="B100" s="208">
        <f>IF(ISNUMBER('Chemical Properties'!E48),IF(0.035*LN('Chemical Properties'!E48)+0.4079&gt;1,1,IF(0.035*LN('Chemical Properties'!E48)+0.4079&lt;0,0,0.035*LN('Chemical Properties'!E48)+0.4079)),IF(0.035*LN('Chemical Properties'!E11)+0.4079&gt;1,1,IF(0.035*LN('Chemical Properties'!E11)+0.4079&lt;0,0,0.035*LN('Chemical Properties'!E11)+0.4079)))</f>
        <v>0.20153459714437197</v>
      </c>
      <c r="C100" s="209">
        <f t="shared" si="26"/>
        <v>1.0076729857218608E-2</v>
      </c>
      <c r="D100" s="208">
        <f>IF(ISNUMBER('Chemical Properties'!E48),IF(0.005*LN('Chemical Properties'!E48)+0.0658&gt;1,1,IF(0.005*LN('Chemical Properties'!E48)+0.0658&lt;0,0,0.005*LN('Chemical Properties'!E48)+0.0658)),IF(0.005*LN('Chemical Properties'!E11)+0.0658&gt;1,1,IF(0.005*LN('Chemical Properties'!E11)+0.0658&lt;0,0,0.005*LN('Chemical Properties'!E11)+0.0658)))</f>
        <v>3.6319228163481709E-2</v>
      </c>
      <c r="E100" s="208">
        <f>IF(ISNUMBER('Chemical Properties'!E48),IF(0.009*LN('Chemical Properties'!E48)+0.1036&gt;1,1,IF(0.009*LN('Chemical Properties'!E48)+0.1036&lt;0,0,0.009*LN('Chemical Properties'!E48)+0.1036)),IF(0.009*LN('Chemical Properties'!E11)+0.1036&gt;1,1,IF(0.009*LN('Chemical Properties'!E11)+0.1036&lt;0,0,0.009*LN('Chemical Properties'!E11)+0.1036)))</f>
        <v>5.0534610694267089E-2</v>
      </c>
      <c r="F100" s="209">
        <f t="shared" si="27"/>
        <v>2.5267305347133565E-3</v>
      </c>
      <c r="G100" s="208">
        <f>IF(ISNUMBER('Chemical Properties'!E48),IF(0.0105*LN('Chemical Properties'!E48)+0.1416&gt;1,1,IF(0.0105*LN('Chemical Properties'!E48)+0.1416&lt;0,0,0.0105*LN('Chemical Properties'!E48)+0.1416)),IF(0.0105*LN('Chemical Properties'!E11)+0.1416&gt;1,1,IF(0.0105*LN('Chemical Properties'!E11)+0.1416&lt;0,0,0.0105*LN('Chemical Properties'!E11)+0.1416)))</f>
        <v>7.9690379143311604E-2</v>
      </c>
      <c r="H100" s="209">
        <f t="shared" si="28"/>
        <v>3.984518957165584E-3</v>
      </c>
      <c r="I100" s="208">
        <f>IF(ISNUMBER('Chemical Properties'!E48),IF(0.0312*LN('Chemical Properties'!E48)+0.4163&gt;1,1,IF(0.0312*LN('Chemical Properties'!E48)+0.4163&lt;0,0,0.0312*LN('Chemical Properties'!E48)+0.4163)),IF(0.0312*LN('Chemical Properties'!E11)+0.4163&gt;1,1,IF(0.0312*LN('Chemical Properties'!E11)+0.4163&lt;0,0,0.0312*LN('Chemical Properties'!E11)+0.4163)))</f>
        <v>0.2323399837401259</v>
      </c>
      <c r="J100" s="209">
        <f t="shared" si="29"/>
        <v>1.1616999187006306E-2</v>
      </c>
      <c r="K100" s="208">
        <f>IF(ISNUMBER('Chemical Properties'!E48),IF(0.0004*LN('Chemical Properties'!E48)+0.007&gt;1,1,IF(0.0004*LN('Chemical Properties'!E48)+0.007&lt;0,0,0.0004*LN('Chemical Properties'!E48)+0.007)),IF(0.0004*LN('Chemical Properties'!E11)+0.007&gt;1,1,IF(0.0004*LN('Chemical Properties'!E11)+0.007&lt;0,0,0.0004*LN('Chemical Properties'!E11)+0.007)))</f>
        <v>4.6415382530785379E-3</v>
      </c>
      <c r="L100" s="209">
        <f t="shared" si="30"/>
        <v>2.320769126539271E-4</v>
      </c>
      <c r="Q100" s="210"/>
    </row>
    <row r="101" spans="1:17">
      <c r="A101" s="63" t="s">
        <v>70</v>
      </c>
      <c r="B101" s="208">
        <f>IF(ISNUMBER('Chemical Properties'!E49),IF(0.035*LN('Chemical Properties'!E49)+0.4079&gt;1,1,IF(0.035*LN('Chemical Properties'!E49)+0.4079&lt;0,0,0.035*LN('Chemical Properties'!E49)+0.4079)),IF(0.035*LN('Chemical Properties'!E12)+0.4079&gt;1,1,IF(0.035*LN('Chemical Properties'!E12)+0.4079&lt;0,0,0.035*LN('Chemical Properties'!E12)+0.4079)))</f>
        <v>0.31658114113634428</v>
      </c>
      <c r="C101" s="209">
        <f t="shared" si="26"/>
        <v>1.5829057056817229E-2</v>
      </c>
      <c r="D101" s="208">
        <f>IF(ISNUMBER('Chemical Properties'!E49),IF(0.005*LN('Chemical Properties'!E49)+0.0658&gt;1,1,IF(0.005*LN('Chemical Properties'!E49)+0.0658&lt;0,0,0.005*LN('Chemical Properties'!E49)+0.0658)),IF(0.005*LN('Chemical Properties'!E12)+0.0658&gt;1,1,IF(0.005*LN('Chemical Properties'!E12)+0.0658&lt;0,0,0.005*LN('Chemical Properties'!E12)+0.0658)))</f>
        <v>5.2754448733763462E-2</v>
      </c>
      <c r="E101" s="208">
        <f>IF(ISNUMBER('Chemical Properties'!E49),IF(0.009*LN('Chemical Properties'!E49)+0.1036&gt;1,1,IF(0.009*LN('Chemical Properties'!E49)+0.1036&lt;0,0,0.009*LN('Chemical Properties'!E49)+0.1036)),IF(0.009*LN('Chemical Properties'!E12)+0.1036&gt;1,1,IF(0.009*LN('Chemical Properties'!E12)+0.1036&lt;0,0,0.009*LN('Chemical Properties'!E12)+0.1036)))</f>
        <v>8.0118007720774237E-2</v>
      </c>
      <c r="F101" s="209">
        <f t="shared" si="27"/>
        <v>4.0059003860387155E-3</v>
      </c>
      <c r="G101" s="208">
        <f>IF(ISNUMBER('Chemical Properties'!E49),IF(0.0105*LN('Chemical Properties'!E49)+0.1416&gt;1,1,IF(0.0105*LN('Chemical Properties'!E49)+0.1416&lt;0,0,0.0105*LN('Chemical Properties'!E49)+0.1416)),IF(0.0105*LN('Chemical Properties'!E12)+0.1416&gt;1,1,IF(0.0105*LN('Chemical Properties'!E12)+0.1416&lt;0,0,0.0105*LN('Chemical Properties'!E12)+0.1416)))</f>
        <v>0.11420434234090329</v>
      </c>
      <c r="H101" s="209">
        <f t="shared" si="28"/>
        <v>5.7102171170451696E-3</v>
      </c>
      <c r="I101" s="208">
        <f>IF(ISNUMBER('Chemical Properties'!E49),IF(0.0312*LN('Chemical Properties'!E49)+0.4163&gt;1,1,IF(0.0312*LN('Chemical Properties'!E49)+0.4163&lt;0,0,0.0312*LN('Chemical Properties'!E49)+0.4163)),IF(0.0312*LN('Chemical Properties'!E12)+0.4163&gt;1,1,IF(0.0312*LN('Chemical Properties'!E12)+0.4163&lt;0,0,0.0312*LN('Chemical Properties'!E12)+0.4163)))</f>
        <v>0.33489576009868405</v>
      </c>
      <c r="J101" s="209">
        <f t="shared" si="29"/>
        <v>1.6744788004934216E-2</v>
      </c>
      <c r="K101" s="208">
        <f>IF(ISNUMBER('Chemical Properties'!E49),IF(0.0004*LN('Chemical Properties'!E49)+0.007&gt;1,1,IF(0.0004*LN('Chemical Properties'!E49)+0.007&lt;0,0,0.0004*LN('Chemical Properties'!E49)+0.007)),IF(0.0004*LN('Chemical Properties'!E12)+0.007&gt;1,1,IF(0.0004*LN('Chemical Properties'!E12)+0.007&lt;0,0,0.0004*LN('Chemical Properties'!E12)+0.007)))</f>
        <v>5.9563558987010771E-3</v>
      </c>
      <c r="L101" s="209">
        <f t="shared" si="30"/>
        <v>2.9781779493505411E-4</v>
      </c>
      <c r="Q101" s="210"/>
    </row>
    <row r="102" spans="1:17">
      <c r="A102" s="63" t="s">
        <v>16</v>
      </c>
      <c r="B102" s="208">
        <f>IF(ISNUMBER('Chemical Properties'!E50),IF(0.035*LN('Chemical Properties'!E50)+0.4079&gt;1,1,IF(0.035*LN('Chemical Properties'!E50)+0.4079&lt;0,0,0.035*LN('Chemical Properties'!E50)+0.4079)),IF(0.035*LN('Chemical Properties'!E13)+0.4079&gt;1,1,IF(0.035*LN('Chemical Properties'!E13)+0.4079&lt;0,0,0.035*LN('Chemical Properties'!E13)+0.4079)))</f>
        <v>0</v>
      </c>
      <c r="C102" s="209">
        <f t="shared" si="26"/>
        <v>0</v>
      </c>
      <c r="D102" s="208">
        <f>IF(ISNUMBER('Chemical Properties'!E50),IF(0.005*LN('Chemical Properties'!E50)+0.0658&gt;1,1,IF(0.005*LN('Chemical Properties'!E50)+0.0658&lt;0,0,0.005*LN('Chemical Properties'!E50)+0.0658)),IF(0.005*LN('Chemical Properties'!E13)+0.0658&gt;1,1,IF(0.005*LN('Chemical Properties'!E13)+0.0658&lt;0,0,0.005*LN('Chemical Properties'!E13)+0.0658)))</f>
        <v>0</v>
      </c>
      <c r="E102" s="208">
        <f>IF(ISNUMBER('Chemical Properties'!E50),IF(0.009*LN('Chemical Properties'!E50)+0.1036&gt;1,1,IF(0.009*LN('Chemical Properties'!E50)+0.1036&lt;0,0,0.009*LN('Chemical Properties'!E50)+0.1036)),IF(0.009*LN('Chemical Properties'!E13)+0.1036&gt;1,1,IF(0.009*LN('Chemical Properties'!E13)+0.1036&lt;0,0,0.009*LN('Chemical Properties'!E13)+0.1036)))</f>
        <v>0</v>
      </c>
      <c r="F102" s="209">
        <f t="shared" si="27"/>
        <v>0</v>
      </c>
      <c r="G102" s="208">
        <f>IF(ISNUMBER('Chemical Properties'!E50),IF(0.0105*LN('Chemical Properties'!E50)+0.1416&gt;1,1,IF(0.0105*LN('Chemical Properties'!E50)+0.1416&lt;0,0,0.0105*LN('Chemical Properties'!E50)+0.1416)),IF(0.0105*LN('Chemical Properties'!E13)+0.1416&gt;1,1,IF(0.0105*LN('Chemical Properties'!E13)+0.1416&lt;0,0,0.0105*LN('Chemical Properties'!E13)+0.1416)))</f>
        <v>0</v>
      </c>
      <c r="H102" s="209">
        <f t="shared" si="28"/>
        <v>0</v>
      </c>
      <c r="I102" s="208">
        <f>IF(ISNUMBER('Chemical Properties'!E50),IF(0.0312*LN('Chemical Properties'!E50)+0.4163&gt;1,1,IF(0.0312*LN('Chemical Properties'!E50)+0.4163&lt;0,0,0.0312*LN('Chemical Properties'!E50)+0.4163)),IF(0.0312*LN('Chemical Properties'!E13)+0.4163&gt;1,1,IF(0.0312*LN('Chemical Properties'!E13)+0.4163&lt;0,0,0.0312*LN('Chemical Properties'!E13)+0.4163)))</f>
        <v>0</v>
      </c>
      <c r="J102" s="209">
        <f t="shared" si="29"/>
        <v>0</v>
      </c>
      <c r="K102" s="208">
        <f>IF(ISNUMBER('Chemical Properties'!E50),IF(0.0004*LN('Chemical Properties'!E50)+0.007&gt;1,1,IF(0.0004*LN('Chemical Properties'!E50)+0.007&lt;0,0,0.0004*LN('Chemical Properties'!E50)+0.007)),IF(0.0004*LN('Chemical Properties'!E13)+0.007&gt;1,1,IF(0.0004*LN('Chemical Properties'!E13)+0.007&lt;0,0,0.0004*LN('Chemical Properties'!E13)+0.007)))</f>
        <v>0</v>
      </c>
      <c r="L102" s="209">
        <f t="shared" si="30"/>
        <v>0</v>
      </c>
      <c r="Q102" s="210"/>
    </row>
    <row r="103" spans="1:17">
      <c r="A103" s="60" t="s">
        <v>71</v>
      </c>
      <c r="B103" s="208">
        <f>IF(ISNUMBER('Chemical Properties'!E51),IF(0.035*LN('Chemical Properties'!E51)+0.4079&gt;1,1,IF(0.035*LN('Chemical Properties'!E51)+0.4079&lt;0,0,0.035*LN('Chemical Properties'!E51)+0.4079)),IF(0.035*LN('Chemical Properties'!E14)+0.4079&gt;1,1,IF(0.035*LN('Chemical Properties'!E14)+0.4079&lt;0,0,0.035*LN('Chemical Properties'!E14)+0.4079)))</f>
        <v>9.6819158167864794E-2</v>
      </c>
      <c r="C103" s="209">
        <f t="shared" si="26"/>
        <v>4.8409579083932442E-3</v>
      </c>
      <c r="D103" s="208">
        <f>IF(ISNUMBER('Chemical Properties'!E51),IF(0.005*LN('Chemical Properties'!E51)+0.0658&gt;1,1,IF(0.005*LN('Chemical Properties'!E51)+0.0658&lt;0,0,0.005*LN('Chemical Properties'!E51)+0.0658)),IF(0.005*LN('Chemical Properties'!E14)+0.0658&gt;1,1,IF(0.005*LN('Chemical Properties'!E14)+0.0658&lt;0,0,0.005*LN('Chemical Properties'!E14)+0.0658)))</f>
        <v>2.1359879738266405E-2</v>
      </c>
      <c r="E103" s="208">
        <f>IF(ISNUMBER('Chemical Properties'!E51),IF(0.009*LN('Chemical Properties'!E51)+0.1036&gt;1,1,IF(0.009*LN('Chemical Properties'!E51)+0.1036&lt;0,0,0.009*LN('Chemical Properties'!E51)+0.1036)),IF(0.009*LN('Chemical Properties'!E14)+0.1036&gt;1,1,IF(0.009*LN('Chemical Properties'!E14)+0.1036&lt;0,0,0.009*LN('Chemical Properties'!E14)+0.1036)))</f>
        <v>2.3607783528879531E-2</v>
      </c>
      <c r="F103" s="209">
        <f t="shared" si="27"/>
        <v>1.1803891764439775E-3</v>
      </c>
      <c r="G103" s="208">
        <f>IF(ISNUMBER('Chemical Properties'!E51),IF(0.0105*LN('Chemical Properties'!E51)+0.1416&gt;1,1,IF(0.0105*LN('Chemical Properties'!E51)+0.1416&lt;0,0,0.0105*LN('Chemical Properties'!E51)+0.1416)),IF(0.0105*LN('Chemical Properties'!E14)+0.1416&gt;1,1,IF(0.0105*LN('Chemical Properties'!E14)+0.1416&lt;0,0,0.0105*LN('Chemical Properties'!E14)+0.1416)))</f>
        <v>4.8275747450359452E-2</v>
      </c>
      <c r="H103" s="209">
        <f t="shared" si="28"/>
        <v>2.4137873725179749E-3</v>
      </c>
      <c r="I103" s="208">
        <f>IF(ISNUMBER('Chemical Properties'!E51),IF(0.0312*LN('Chemical Properties'!E51)+0.4163&gt;1,1,IF(0.0312*LN('Chemical Properties'!E51)+0.4163&lt;0,0,0.0312*LN('Chemical Properties'!E51)+0.4163)),IF(0.0312*LN('Chemical Properties'!E14)+0.4163&gt;1,1,IF(0.0312*LN('Chemical Properties'!E14)+0.4163&lt;0,0,0.0312*LN('Chemical Properties'!E14)+0.4163)))</f>
        <v>0.1389936495667824</v>
      </c>
      <c r="J103" s="209">
        <f t="shared" si="29"/>
        <v>6.9496824783391257E-3</v>
      </c>
      <c r="K103" s="208">
        <f>IF(ISNUMBER('Chemical Properties'!E51),IF(0.0004*LN('Chemical Properties'!E51)+0.007&gt;1,1,IF(0.0004*LN('Chemical Properties'!E51)+0.007&lt;0,0,0.0004*LN('Chemical Properties'!E51)+0.007)),IF(0.0004*LN('Chemical Properties'!E14)+0.007&gt;1,1,IF(0.0004*LN('Chemical Properties'!E14)+0.007&lt;0,0,0.0004*LN('Chemical Properties'!E14)+0.007)))</f>
        <v>3.4447903790613124E-3</v>
      </c>
      <c r="L103" s="209">
        <f t="shared" si="30"/>
        <v>1.7223951895306577E-4</v>
      </c>
      <c r="Q103" s="210"/>
    </row>
    <row r="104" spans="1:17">
      <c r="A104" s="62" t="s">
        <v>12</v>
      </c>
      <c r="B104" s="208">
        <f>IF(ISNUMBER('Chemical Properties'!E52),IF(0.035*LN('Chemical Properties'!E52)+0.4079&gt;1,1,IF(0.035*LN('Chemical Properties'!E52)+0.4079&lt;0,0,0.035*LN('Chemical Properties'!E52)+0.4079)),IF(0.035*LN('Chemical Properties'!E15)+0.4079&gt;1,1,IF(0.035*LN('Chemical Properties'!E15)+0.4079&lt;0,0,0.035*LN('Chemical Properties'!E15)+0.4079)))</f>
        <v>0.23238748395771716</v>
      </c>
      <c r="C104" s="209">
        <f t="shared" si="26"/>
        <v>1.1619374197885869E-2</v>
      </c>
      <c r="D104" s="208">
        <f>IF(ISNUMBER('Chemical Properties'!E52),IF(0.005*LN('Chemical Properties'!E52)+0.0658&gt;1,1,IF(0.005*LN('Chemical Properties'!E52)+0.0658&lt;0,0,0.005*LN('Chemical Properties'!E52)+0.0658)),IF(0.005*LN('Chemical Properties'!E15)+0.0658&gt;1,1,IF(0.005*LN('Chemical Properties'!E15)+0.0658&lt;0,0,0.005*LN('Chemical Properties'!E15)+0.0658)))</f>
        <v>4.0726783422531027E-2</v>
      </c>
      <c r="E104" s="208">
        <f>IF(ISNUMBER('Chemical Properties'!E52),IF(0.009*LN('Chemical Properties'!E52)+0.1036&gt;1,1,IF(0.009*LN('Chemical Properties'!E52)+0.1036&lt;0,0,0.009*LN('Chemical Properties'!E52)+0.1036)),IF(0.009*LN('Chemical Properties'!E15)+0.1036&gt;1,1,IF(0.009*LN('Chemical Properties'!E15)+0.1036&lt;0,0,0.009*LN('Chemical Properties'!E15)+0.1036)))</f>
        <v>5.8468210160555853E-2</v>
      </c>
      <c r="F104" s="209">
        <f t="shared" si="27"/>
        <v>2.9234105080277952E-3</v>
      </c>
      <c r="G104" s="208">
        <f>IF(ISNUMBER('Chemical Properties'!E52),IF(0.0105*LN('Chemical Properties'!E52)+0.1416&gt;1,1,IF(0.0105*LN('Chemical Properties'!E52)+0.1416&lt;0,0,0.0105*LN('Chemical Properties'!E52)+0.1416)),IF(0.0105*LN('Chemical Properties'!E15)+0.1416&gt;1,1,IF(0.0105*LN('Chemical Properties'!E15)+0.1416&lt;0,0,0.0105*LN('Chemical Properties'!E15)+0.1416)))</f>
        <v>8.894624518731517E-2</v>
      </c>
      <c r="H104" s="209">
        <f t="shared" si="28"/>
        <v>4.4473122593657625E-3</v>
      </c>
      <c r="I104" s="208">
        <f>IF(ISNUMBER('Chemical Properties'!E52),IF(0.0312*LN('Chemical Properties'!E52)+0.4163&gt;1,1,IF(0.0312*LN('Chemical Properties'!E52)+0.4163&lt;0,0,0.0312*LN('Chemical Properties'!E52)+0.4163)),IF(0.0312*LN('Chemical Properties'!E15)+0.4163&gt;1,1,IF(0.0312*LN('Chemical Properties'!E15)+0.4163&lt;0,0,0.0312*LN('Chemical Properties'!E15)+0.4163)))</f>
        <v>0.25984312855659364</v>
      </c>
      <c r="J104" s="209">
        <f t="shared" si="29"/>
        <v>1.2992156427829693E-2</v>
      </c>
      <c r="K104" s="208">
        <f>IF(ISNUMBER('Chemical Properties'!E52),IF(0.0004*LN('Chemical Properties'!E52)+0.007&gt;1,1,IF(0.0004*LN('Chemical Properties'!E52)+0.007&lt;0,0,0.0004*LN('Chemical Properties'!E52)+0.007)),IF(0.0004*LN('Chemical Properties'!E15)+0.007&gt;1,1,IF(0.0004*LN('Chemical Properties'!E15)+0.007&lt;0,0,0.0004*LN('Chemical Properties'!E15)+0.007)))</f>
        <v>4.9941426738024826E-3</v>
      </c>
      <c r="L104" s="209">
        <f t="shared" si="30"/>
        <v>2.4970713369012435E-4</v>
      </c>
      <c r="Q104" s="210"/>
    </row>
    <row r="105" spans="1:17">
      <c r="A105" s="62" t="s">
        <v>10</v>
      </c>
      <c r="B105" s="208">
        <f>IF(ISNUMBER('Chemical Properties'!E53),IF(0.035*LN('Chemical Properties'!E53)+0.4079&gt;1,1,IF(0.035*LN('Chemical Properties'!E53)+0.4079&lt;0,0,0.035*LN('Chemical Properties'!E53)+0.4079)),IF(0.035*LN('Chemical Properties'!E16)+0.4079&gt;1,1,IF(0.035*LN('Chemical Properties'!E16)+0.4079&lt;0,0,0.035*LN('Chemical Properties'!E16)+0.4079)))</f>
        <v>0</v>
      </c>
      <c r="C105" s="209">
        <f t="shared" si="26"/>
        <v>0</v>
      </c>
      <c r="D105" s="208">
        <f>IF(ISNUMBER('Chemical Properties'!E53),IF(0.005*LN('Chemical Properties'!E53)+0.0658&gt;1,1,IF(0.005*LN('Chemical Properties'!E53)+0.0658&lt;0,0,0.005*LN('Chemical Properties'!E53)+0.0658)),IF(0.005*LN('Chemical Properties'!E16)+0.0658&gt;1,1,IF(0.005*LN('Chemical Properties'!E16)+0.0658&lt;0,0,0.005*LN('Chemical Properties'!E16)+0.0658)))</f>
        <v>0</v>
      </c>
      <c r="E105" s="208">
        <f>IF(ISNUMBER('Chemical Properties'!E53),IF(0.009*LN('Chemical Properties'!E53)+0.1036&gt;1,1,IF(0.009*LN('Chemical Properties'!E53)+0.1036&lt;0,0,0.009*LN('Chemical Properties'!E53)+0.1036)),IF(0.009*LN('Chemical Properties'!E16)+0.1036&gt;1,1,IF(0.009*LN('Chemical Properties'!E16)+0.1036&lt;0,0,0.009*LN('Chemical Properties'!E16)+0.1036)))</f>
        <v>0</v>
      </c>
      <c r="F105" s="209">
        <f t="shared" si="27"/>
        <v>0</v>
      </c>
      <c r="G105" s="208">
        <f>IF(ISNUMBER('Chemical Properties'!E53),IF(0.0105*LN('Chemical Properties'!E53)+0.1416&gt;1,1,IF(0.0105*LN('Chemical Properties'!E53)+0.1416&lt;0,0,0.0105*LN('Chemical Properties'!E53)+0.1416)),IF(0.0105*LN('Chemical Properties'!E16)+0.1416&gt;1,1,IF(0.0105*LN('Chemical Properties'!E16)+0.1416&lt;0,0,0.0105*LN('Chemical Properties'!E16)+0.1416)))</f>
        <v>0</v>
      </c>
      <c r="H105" s="209">
        <f t="shared" si="28"/>
        <v>0</v>
      </c>
      <c r="I105" s="208">
        <f>IF(ISNUMBER('Chemical Properties'!E53),IF(0.0312*LN('Chemical Properties'!E53)+0.4163&gt;1,1,IF(0.0312*LN('Chemical Properties'!E53)+0.4163&lt;0,0,0.0312*LN('Chemical Properties'!E53)+0.4163)),IF(0.0312*LN('Chemical Properties'!E16)+0.4163&gt;1,1,IF(0.0312*LN('Chemical Properties'!E16)+0.4163&lt;0,0,0.0312*LN('Chemical Properties'!E16)+0.4163)))</f>
        <v>0</v>
      </c>
      <c r="J105" s="209">
        <f t="shared" si="29"/>
        <v>0</v>
      </c>
      <c r="K105" s="208">
        <f>IF(ISNUMBER('Chemical Properties'!E53),IF(0.0004*LN('Chemical Properties'!E53)+0.007&gt;1,1,IF(0.0004*LN('Chemical Properties'!E53)+0.007&lt;0,0,0.0004*LN('Chemical Properties'!E53)+0.007)),IF(0.0004*LN('Chemical Properties'!E16)+0.007&gt;1,1,IF(0.0004*LN('Chemical Properties'!E16)+0.007&lt;0,0,0.0004*LN('Chemical Properties'!E16)+0.007)))</f>
        <v>1.1042681774963113E-3</v>
      </c>
      <c r="L105" s="209">
        <f t="shared" si="30"/>
        <v>5.5213408874815612E-5</v>
      </c>
      <c r="Q105" s="210"/>
    </row>
    <row r="106" spans="1:17">
      <c r="A106" s="63" t="s">
        <v>72</v>
      </c>
      <c r="B106" s="208">
        <f>IF(ISNUMBER('Chemical Properties'!E54),IF(0.035*LN('Chemical Properties'!E54)+0.4079&gt;1,1,IF(0.035*LN('Chemical Properties'!E54)+0.4079&lt;0,0,0.035*LN('Chemical Properties'!E54)+0.4079)),IF(0.035*LN('Chemical Properties'!E17)+0.4079&gt;1,1,IF(0.035*LN('Chemical Properties'!E17)+0.4079&lt;0,0,0.035*LN('Chemical Properties'!E17)+0.4079)))</f>
        <v>0.33426930180128916</v>
      </c>
      <c r="C106" s="209">
        <f t="shared" si="26"/>
        <v>1.6713465090064474E-2</v>
      </c>
      <c r="D106" s="208">
        <f>IF(ISNUMBER('Chemical Properties'!E54),IF(0.005*LN('Chemical Properties'!E54)+0.0658&gt;1,1,IF(0.005*LN('Chemical Properties'!E54)+0.0658&lt;0,0,0.005*LN('Chemical Properties'!E54)+0.0658)),IF(0.005*LN('Chemical Properties'!E17)+0.0658&gt;1,1,IF(0.005*LN('Chemical Properties'!E17)+0.0658&lt;0,0,0.005*LN('Chemical Properties'!E17)+0.0658)))</f>
        <v>5.5281328828755597E-2</v>
      </c>
      <c r="E106" s="208">
        <f>IF(ISNUMBER('Chemical Properties'!E54),IF(0.009*LN('Chemical Properties'!E54)+0.1036&gt;1,1,IF(0.009*LN('Chemical Properties'!E54)+0.1036&lt;0,0,0.009*LN('Chemical Properties'!E54)+0.1036)),IF(0.009*LN('Chemical Properties'!E17)+0.1036&gt;1,1,IF(0.009*LN('Chemical Properties'!E17)+0.1036&lt;0,0,0.009*LN('Chemical Properties'!E17)+0.1036)))</f>
        <v>8.4666391891760076E-2</v>
      </c>
      <c r="F106" s="209">
        <f t="shared" si="27"/>
        <v>4.2333195945880074E-3</v>
      </c>
      <c r="G106" s="208">
        <f>IF(ISNUMBER('Chemical Properties'!E54),IF(0.0105*LN('Chemical Properties'!E54)+0.1416&gt;1,1,IF(0.0105*LN('Chemical Properties'!E54)+0.1416&lt;0,0,0.0105*LN('Chemical Properties'!E54)+0.1416)),IF(0.0105*LN('Chemical Properties'!E17)+0.1416&gt;1,1,IF(0.0105*LN('Chemical Properties'!E17)+0.1416&lt;0,0,0.0105*LN('Chemical Properties'!E17)+0.1416)))</f>
        <v>0.11951079054038675</v>
      </c>
      <c r="H106" s="209">
        <f t="shared" si="28"/>
        <v>5.9755395270193433E-3</v>
      </c>
      <c r="I106" s="208">
        <f>IF(ISNUMBER('Chemical Properties'!E54),IF(0.0312*LN('Chemical Properties'!E54)+0.4163&gt;1,1,IF(0.0312*LN('Chemical Properties'!E54)+0.4163&lt;0,0,0.0312*LN('Chemical Properties'!E54)+0.4163)),IF(0.0312*LN('Chemical Properties'!E17)+0.4163&gt;1,1,IF(0.0312*LN('Chemical Properties'!E17)+0.4163&lt;0,0,0.0312*LN('Chemical Properties'!E17)+0.4163)))</f>
        <v>0.35066349189143492</v>
      </c>
      <c r="J106" s="209">
        <f t="shared" si="29"/>
        <v>1.7533174594571762E-2</v>
      </c>
      <c r="K106" s="208">
        <f>IF(ISNUMBER('Chemical Properties'!E54),IF(0.0004*LN('Chemical Properties'!E54)+0.007&gt;1,1,IF(0.0004*LN('Chemical Properties'!E54)+0.007&lt;0,0,0.0004*LN('Chemical Properties'!E54)+0.007)),IF(0.0004*LN('Chemical Properties'!E17)+0.007&gt;1,1,IF(0.0004*LN('Chemical Properties'!E17)+0.007&lt;0,0,0.0004*LN('Chemical Properties'!E17)+0.007)))</f>
        <v>6.1585063063004479E-3</v>
      </c>
      <c r="L106" s="209">
        <f t="shared" si="30"/>
        <v>3.0792531531502264E-4</v>
      </c>
      <c r="Q106" s="210"/>
    </row>
    <row r="107" spans="1:17">
      <c r="A107" s="63" t="s">
        <v>73</v>
      </c>
      <c r="B107" s="208">
        <f>IF(ISNUMBER('Chemical Properties'!E55),IF(0.035*LN('Chemical Properties'!E55)+0.4079&gt;1,1,IF(0.035*LN('Chemical Properties'!E55)+0.4079&lt;0,0,0.035*LN('Chemical Properties'!E55)+0.4079)),IF(0.035*LN('Chemical Properties'!E18)+0.4079&gt;1,1,IF(0.035*LN('Chemical Properties'!E18)+0.4079&lt;0,0,0.035*LN('Chemical Properties'!E18)+0.4079)))</f>
        <v>0</v>
      </c>
      <c r="C107" s="209">
        <f t="shared" si="26"/>
        <v>0</v>
      </c>
      <c r="D107" s="208">
        <f>IF(ISNUMBER('Chemical Properties'!E55),IF(0.005*LN('Chemical Properties'!E55)+0.0658&gt;1,1,IF(0.005*LN('Chemical Properties'!E55)+0.0658&lt;0,0,0.005*LN('Chemical Properties'!E55)+0.0658)),IF(0.005*LN('Chemical Properties'!E18)+0.0658&gt;1,1,IF(0.005*LN('Chemical Properties'!E18)+0.0658&lt;0,0,0.005*LN('Chemical Properties'!E18)+0.0658)))</f>
        <v>0</v>
      </c>
      <c r="E107" s="208">
        <f>IF(ISNUMBER('Chemical Properties'!E55),IF(0.009*LN('Chemical Properties'!E55)+0.1036&gt;1,1,IF(0.009*LN('Chemical Properties'!E55)+0.1036&lt;0,0,0.009*LN('Chemical Properties'!E55)+0.1036)),IF(0.009*LN('Chemical Properties'!E18)+0.1036&gt;1,1,IF(0.009*LN('Chemical Properties'!E18)+0.1036&lt;0,0,0.009*LN('Chemical Properties'!E18)+0.1036)))</f>
        <v>0</v>
      </c>
      <c r="F107" s="209">
        <f t="shared" si="27"/>
        <v>0</v>
      </c>
      <c r="G107" s="208">
        <f>IF(ISNUMBER('Chemical Properties'!E55),IF(0.0105*LN('Chemical Properties'!E55)+0.1416&gt;1,1,IF(0.0105*LN('Chemical Properties'!E55)+0.1416&lt;0,0,0.0105*LN('Chemical Properties'!E55)+0.1416)),IF(0.0105*LN('Chemical Properties'!E18)+0.1416&gt;1,1,IF(0.0105*LN('Chemical Properties'!E18)+0.1416&lt;0,0,0.0105*LN('Chemical Properties'!E18)+0.1416)))</f>
        <v>1.6026137084401981E-3</v>
      </c>
      <c r="H107" s="209">
        <f t="shared" si="28"/>
        <v>8.0130685422009982E-5</v>
      </c>
      <c r="I107" s="208">
        <f>IF(ISNUMBER('Chemical Properties'!E55),IF(0.0312*LN('Chemical Properties'!E55)+0.4163&gt;1,1,IF(0.0312*LN('Chemical Properties'!E55)+0.4163&lt;0,0,0.0312*LN('Chemical Properties'!E55)+0.4163)),IF(0.0312*LN('Chemical Properties'!E18)+0.4163&gt;1,1,IF(0.0312*LN('Chemical Properties'!E18)+0.4163&lt;0,0,0.0312*LN('Chemical Properties'!E18)+0.4163)))</f>
        <v>3.0776644793656383E-4</v>
      </c>
      <c r="J107" s="209">
        <f t="shared" si="29"/>
        <v>1.5388322396828203E-5</v>
      </c>
      <c r="K107" s="208">
        <f>IF(ISNUMBER('Chemical Properties'!E55),IF(0.0004*LN('Chemical Properties'!E55)+0.007&gt;1,1,IF(0.0004*LN('Chemical Properties'!E55)+0.007&lt;0,0,0.0004*LN('Chemical Properties'!E55)+0.007)),IF(0.0004*LN('Chemical Properties'!E18)+0.007&gt;1,1,IF(0.0004*LN('Chemical Properties'!E18)+0.007&lt;0,0,0.0004*LN('Chemical Properties'!E18)+0.007)))</f>
        <v>1.6667662365120071E-3</v>
      </c>
      <c r="L107" s="209">
        <f t="shared" si="30"/>
        <v>8.3338311825600423E-5</v>
      </c>
      <c r="Q107" s="210"/>
    </row>
    <row r="108" spans="1:17">
      <c r="A108" s="64" t="s">
        <v>74</v>
      </c>
      <c r="B108" s="208">
        <f>IF(ISNUMBER('Chemical Properties'!E56),IF(0.035*LN('Chemical Properties'!E56)+0.4079&gt;1,1,IF(0.035*LN('Chemical Properties'!E56)+0.4079&lt;0,0,0.035*LN('Chemical Properties'!E56)+0.4079)),IF(0.035*LN('Chemical Properties'!E19)+0.4079&gt;1,1,IF(0.035*LN('Chemical Properties'!E19)+0.4079&lt;0,0,0.035*LN('Chemical Properties'!E19)+0.4079)))</f>
        <v>0.22907988247255201</v>
      </c>
      <c r="C108" s="209">
        <f t="shared" si="26"/>
        <v>1.145399412362761E-2</v>
      </c>
      <c r="D108" s="208">
        <f>IF(ISNUMBER('Chemical Properties'!E56),IF(0.005*LN('Chemical Properties'!E56)+0.0658&gt;1,1,IF(0.005*LN('Chemical Properties'!E56)+0.0658&lt;0,0,0.005*LN('Chemical Properties'!E56)+0.0658)),IF(0.005*LN('Chemical Properties'!E19)+0.0658&gt;1,1,IF(0.005*LN('Chemical Properties'!E19)+0.0658&lt;0,0,0.005*LN('Chemical Properties'!E19)+0.0658)))</f>
        <v>4.025426892465029E-2</v>
      </c>
      <c r="E108" s="208">
        <f>IF(ISNUMBER('Chemical Properties'!E56),IF(0.009*LN('Chemical Properties'!E56)+0.1036&gt;1,1,IF(0.009*LN('Chemical Properties'!E56)+0.1036&lt;0,0,0.009*LN('Chemical Properties'!E56)+0.1036)),IF(0.009*LN('Chemical Properties'!E19)+0.1036&gt;1,1,IF(0.009*LN('Chemical Properties'!E19)+0.1036&lt;0,0,0.009*LN('Chemical Properties'!E19)+0.1036)))</f>
        <v>5.7617684064370532E-2</v>
      </c>
      <c r="F108" s="209">
        <f t="shared" si="27"/>
        <v>2.880884203218529E-3</v>
      </c>
      <c r="G108" s="208">
        <f>IF(ISNUMBER('Chemical Properties'!E56),IF(0.0105*LN('Chemical Properties'!E56)+0.1416&gt;1,1,IF(0.0105*LN('Chemical Properties'!E56)+0.1416&lt;0,0,0.0105*LN('Chemical Properties'!E56)+0.1416)),IF(0.0105*LN('Chemical Properties'!E19)+0.1416&gt;1,1,IF(0.0105*LN('Chemical Properties'!E19)+0.1416&lt;0,0,0.0105*LN('Chemical Properties'!E19)+0.1416)))</f>
        <v>8.7953964741765617E-2</v>
      </c>
      <c r="H108" s="209">
        <f t="shared" si="28"/>
        <v>4.397698237088285E-3</v>
      </c>
      <c r="I108" s="208">
        <f>IF(ISNUMBER('Chemical Properties'!E56),IF(0.0312*LN('Chemical Properties'!E56)+0.4163&gt;1,1,IF(0.0312*LN('Chemical Properties'!E56)+0.4163&lt;0,0,0.0312*LN('Chemical Properties'!E56)+0.4163)),IF(0.0312*LN('Chemical Properties'!E19)+0.4163&gt;1,1,IF(0.0312*LN('Chemical Properties'!E19)+0.4163&lt;0,0,0.0312*LN('Chemical Properties'!E19)+0.4163)))</f>
        <v>0.25689463808981783</v>
      </c>
      <c r="J108" s="209">
        <f t="shared" si="29"/>
        <v>1.2844731904490902E-2</v>
      </c>
      <c r="K108" s="208">
        <f>IF(ISNUMBER('Chemical Properties'!E56),IF(0.0004*LN('Chemical Properties'!E56)+0.007&gt;1,1,IF(0.0004*LN('Chemical Properties'!E56)+0.007&lt;0,0,0.0004*LN('Chemical Properties'!E56)+0.007)),IF(0.0004*LN('Chemical Properties'!E19)+0.007&gt;1,1,IF(0.0004*LN('Chemical Properties'!E19)+0.007&lt;0,0,0.0004*LN('Chemical Properties'!E19)+0.007)))</f>
        <v>4.9563415139720233E-3</v>
      </c>
      <c r="L108" s="209">
        <f t="shared" si="30"/>
        <v>2.4781707569860136E-4</v>
      </c>
      <c r="Q108" s="210"/>
    </row>
    <row r="109" spans="1:17">
      <c r="A109" s="63" t="s">
        <v>75</v>
      </c>
      <c r="B109" s="208">
        <f>IF(ISNUMBER('Chemical Properties'!E57),IF(0.035*LN('Chemical Properties'!E57)+0.4079&gt;1,1,IF(0.035*LN('Chemical Properties'!E57)+0.4079&lt;0,0,0.035*LN('Chemical Properties'!E57)+0.4079)),IF(0.035*LN('Chemical Properties'!E20)+0.4079&gt;1,1,IF(0.035*LN('Chemical Properties'!E20)+0.4079&lt;0,0,0.035*LN('Chemical Properties'!E20)+0.4079)))</f>
        <v>0.14552892797209693</v>
      </c>
      <c r="C109" s="209">
        <f t="shared" si="26"/>
        <v>7.2764463986048529E-3</v>
      </c>
      <c r="D109" s="208">
        <f>IF(ISNUMBER('Chemical Properties'!E57),IF(0.005*LN('Chemical Properties'!E57)+0.0658&gt;1,1,IF(0.005*LN('Chemical Properties'!E57)+0.0658&lt;0,0,0.005*LN('Chemical Properties'!E57)+0.0658)),IF(0.005*LN('Chemical Properties'!E20)+0.0658&gt;1,1,IF(0.005*LN('Chemical Properties'!E20)+0.0658&lt;0,0,0.005*LN('Chemical Properties'!E20)+0.0658)))</f>
        <v>2.8318418281728132E-2</v>
      </c>
      <c r="E109" s="208">
        <f>IF(ISNUMBER('Chemical Properties'!E57),IF(0.009*LN('Chemical Properties'!E57)+0.1036&gt;1,1,IF(0.009*LN('Chemical Properties'!E57)+0.1036&lt;0,0,0.009*LN('Chemical Properties'!E57)+0.1036)),IF(0.009*LN('Chemical Properties'!E20)+0.1036&gt;1,1,IF(0.009*LN('Chemical Properties'!E20)+0.1036&lt;0,0,0.009*LN('Chemical Properties'!E20)+0.1036)))</f>
        <v>3.6133152907110652E-2</v>
      </c>
      <c r="F109" s="209">
        <f t="shared" si="27"/>
        <v>1.8066576453555341E-3</v>
      </c>
      <c r="G109" s="208">
        <f>IF(ISNUMBER('Chemical Properties'!E57),IF(0.0105*LN('Chemical Properties'!E57)+0.1416&gt;1,1,IF(0.0105*LN('Chemical Properties'!E57)+0.1416&lt;0,0,0.0105*LN('Chemical Properties'!E57)+0.1416)),IF(0.0105*LN('Chemical Properties'!E20)+0.1416&gt;1,1,IF(0.0105*LN('Chemical Properties'!E20)+0.1416&lt;0,0,0.0105*LN('Chemical Properties'!E20)+0.1416)))</f>
        <v>6.288867839162908E-2</v>
      </c>
      <c r="H109" s="209">
        <f t="shared" si="28"/>
        <v>3.1444339195814569E-3</v>
      </c>
      <c r="I109" s="208">
        <f>IF(ISNUMBER('Chemical Properties'!E57),IF(0.0312*LN('Chemical Properties'!E57)+0.4163&gt;1,1,IF(0.0312*LN('Chemical Properties'!E57)+0.4163&lt;0,0,0.0312*LN('Chemical Properties'!E57)+0.4163)),IF(0.0312*LN('Chemical Properties'!E20)+0.4163&gt;1,1,IF(0.0312*LN('Chemical Properties'!E20)+0.4163&lt;0,0,0.0312*LN('Chemical Properties'!E20)+0.4163)))</f>
        <v>0.18241493007798359</v>
      </c>
      <c r="J109" s="209">
        <f t="shared" si="29"/>
        <v>9.120746503899187E-3</v>
      </c>
      <c r="K109" s="208">
        <f>IF(ISNUMBER('Chemical Properties'!E57),IF(0.0004*LN('Chemical Properties'!E57)+0.007&gt;1,1,IF(0.0004*LN('Chemical Properties'!E57)+0.007&lt;0,0,0.0004*LN('Chemical Properties'!E57)+0.007)),IF(0.0004*LN('Chemical Properties'!E20)+0.007&gt;1,1,IF(0.0004*LN('Chemical Properties'!E20)+0.007&lt;0,0,0.0004*LN('Chemical Properties'!E20)+0.007)))</f>
        <v>4.0014734625382509E-3</v>
      </c>
      <c r="L109" s="209">
        <f t="shared" si="30"/>
        <v>2.0007367312691274E-4</v>
      </c>
      <c r="Q109" s="210"/>
    </row>
    <row r="110" spans="1:17">
      <c r="A110" s="64" t="s">
        <v>78</v>
      </c>
      <c r="B110" s="208">
        <f>IF(ISNUMBER('Chemical Properties'!E58),IF(0.035*LN('Chemical Properties'!E58)+0.4079&gt;1,1,IF(0.035*LN('Chemical Properties'!E58)+0.4079&lt;0,0,0.035*LN('Chemical Properties'!E58)+0.4079)),IF(0.035*LN('Chemical Properties'!E21)+0.4079&gt;1,1,IF(0.035*LN('Chemical Properties'!E21)+0.4079&lt;0,0,0.035*LN('Chemical Properties'!E21)+0.4079)))</f>
        <v>0.12157476658217409</v>
      </c>
      <c r="C110" s="209">
        <f t="shared" si="26"/>
        <v>6.0787383291087101E-3</v>
      </c>
      <c r="D110" s="208">
        <f>IF(ISNUMBER('Chemical Properties'!E58),IF(0.005*LN('Chemical Properties'!E58)+0.0658&gt;1,1,IF(0.005*LN('Chemical Properties'!E58)+0.0658&lt;0,0,0.005*LN('Chemical Properties'!E58)+0.0658)),IF(0.005*LN('Chemical Properties'!E21)+0.0658&gt;1,1,IF(0.005*LN('Chemical Properties'!E21)+0.0658&lt;0,0,0.005*LN('Chemical Properties'!E21)+0.0658)))</f>
        <v>2.4896395226024874E-2</v>
      </c>
      <c r="E110" s="208">
        <f>IF(ISNUMBER('Chemical Properties'!E58),IF(0.009*LN('Chemical Properties'!E58)+0.1036&gt;1,1,IF(0.009*LN('Chemical Properties'!E58)+0.1036&lt;0,0,0.009*LN('Chemical Properties'!E58)+0.1036)),IF(0.009*LN('Chemical Properties'!E21)+0.1036&gt;1,1,IF(0.009*LN('Chemical Properties'!E21)+0.1036&lt;0,0,0.009*LN('Chemical Properties'!E21)+0.1036)))</f>
        <v>2.9973511406844788E-2</v>
      </c>
      <c r="F110" s="209">
        <f t="shared" si="27"/>
        <v>1.4986755703422408E-3</v>
      </c>
      <c r="G110" s="208">
        <f>IF(ISNUMBER('Chemical Properties'!E58),IF(0.0105*LN('Chemical Properties'!E58)+0.1416&gt;1,1,IF(0.0105*LN('Chemical Properties'!E58)+0.1416&lt;0,0,0.0105*LN('Chemical Properties'!E58)+0.1416)),IF(0.0105*LN('Chemical Properties'!E21)+0.1416&gt;1,1,IF(0.0105*LN('Chemical Properties'!E21)+0.1416&lt;0,0,0.0105*LN('Chemical Properties'!E21)+0.1416)))</f>
        <v>5.5702429974652246E-2</v>
      </c>
      <c r="H110" s="209">
        <f t="shared" si="28"/>
        <v>2.7851214987326149E-3</v>
      </c>
      <c r="I110" s="208">
        <f>IF(ISNUMBER('Chemical Properties'!E58),IF(0.0312*LN('Chemical Properties'!E58)+0.4163&gt;1,1,IF(0.0312*LN('Chemical Properties'!E58)+0.4163&lt;0,0,0.0312*LN('Chemical Properties'!E58)+0.4163)),IF(0.0312*LN('Chemical Properties'!E21)+0.4163&gt;1,1,IF(0.0312*LN('Chemical Properties'!E21)+0.4163&lt;0,0,0.0312*LN('Chemical Properties'!E21)+0.4163)))</f>
        <v>0.16106150621039528</v>
      </c>
      <c r="J110" s="209">
        <f t="shared" si="29"/>
        <v>8.0530753105197712E-3</v>
      </c>
      <c r="K110" s="208">
        <f>IF(ISNUMBER('Chemical Properties'!E58),IF(0.0004*LN('Chemical Properties'!E58)+0.007&gt;1,1,IF(0.0004*LN('Chemical Properties'!E58)+0.007&lt;0,0,0.0004*LN('Chemical Properties'!E58)+0.007)),IF(0.0004*LN('Chemical Properties'!E21)+0.007&gt;1,1,IF(0.0004*LN('Chemical Properties'!E21)+0.007&lt;0,0,0.0004*LN('Chemical Properties'!E21)+0.007)))</f>
        <v>3.7277116180819904E-3</v>
      </c>
      <c r="L110" s="209">
        <f t="shared" si="30"/>
        <v>1.8638558090409968E-4</v>
      </c>
      <c r="Q110" s="210"/>
    </row>
    <row r="111" spans="1:17">
      <c r="A111" s="65" t="s">
        <v>14</v>
      </c>
      <c r="B111" s="208">
        <f>IF(ISNUMBER('Chemical Properties'!E59),IF(0.035*LN('Chemical Properties'!E59)+0.4079&gt;1,1,IF(0.035*LN('Chemical Properties'!E59)+0.4079&lt;0,0,0.035*LN('Chemical Properties'!E59)+0.4079)),IF(0.035*LN('Chemical Properties'!E22)+0.4079&gt;1,1,IF(0.035*LN('Chemical Properties'!E22)+0.4079&lt;0,0,0.035*LN('Chemical Properties'!E22)+0.4079)))</f>
        <v>0.30248484205806436</v>
      </c>
      <c r="C111" s="209">
        <f t="shared" si="26"/>
        <v>1.5124242102903232E-2</v>
      </c>
      <c r="D111" s="208">
        <f>IF(ISNUMBER('Chemical Properties'!E59),IF(0.005*LN('Chemical Properties'!E59)+0.0658&gt;1,1,IF(0.005*LN('Chemical Properties'!E59)+0.0658&lt;0,0,0.005*LN('Chemical Properties'!E59)+0.0658)),IF(0.005*LN('Chemical Properties'!E22)+0.0658&gt;1,1,IF(0.005*LN('Chemical Properties'!E22)+0.0658&lt;0,0,0.005*LN('Chemical Properties'!E22)+0.0658)))</f>
        <v>5.0740691722580625E-2</v>
      </c>
      <c r="E111" s="208">
        <f>IF(ISNUMBER('Chemical Properties'!E59),IF(0.009*LN('Chemical Properties'!E59)+0.1036&gt;1,1,IF(0.009*LN('Chemical Properties'!E59)+0.1036&lt;0,0,0.009*LN('Chemical Properties'!E59)+0.1036)),IF(0.009*LN('Chemical Properties'!E22)+0.1036&gt;1,1,IF(0.009*LN('Chemical Properties'!E22)+0.1036&lt;0,0,0.009*LN('Chemical Properties'!E22)+0.1036)))</f>
        <v>7.6493245100645132E-2</v>
      </c>
      <c r="F111" s="209">
        <f t="shared" si="27"/>
        <v>3.82466225503226E-3</v>
      </c>
      <c r="G111" s="208">
        <f>IF(ISNUMBER('Chemical Properties'!E59),IF(0.0105*LN('Chemical Properties'!E59)+0.1416&gt;1,1,IF(0.0105*LN('Chemical Properties'!E59)+0.1416&lt;0,0,0.0105*LN('Chemical Properties'!E59)+0.1416)),IF(0.0105*LN('Chemical Properties'!E22)+0.1416&gt;1,1,IF(0.0105*LN('Chemical Properties'!E22)+0.1416&lt;0,0,0.0105*LN('Chemical Properties'!E22)+0.1416)))</f>
        <v>0.10997545261741931</v>
      </c>
      <c r="H111" s="209">
        <f t="shared" si="28"/>
        <v>5.4987726308709708E-3</v>
      </c>
      <c r="I111" s="208">
        <f>IF(ISNUMBER('Chemical Properties'!E59),IF(0.0312*LN('Chemical Properties'!E59)+0.4163&gt;1,1,IF(0.0312*LN('Chemical Properties'!E59)+0.4163&lt;0,0,0.0312*LN('Chemical Properties'!E59)+0.4163)),IF(0.0312*LN('Chemical Properties'!E22)+0.4163&gt;1,1,IF(0.0312*LN('Chemical Properties'!E22)+0.4163&lt;0,0,0.0312*LN('Chemical Properties'!E22)+0.4163)))</f>
        <v>0.32232991634890312</v>
      </c>
      <c r="J111" s="209">
        <f t="shared" si="29"/>
        <v>1.6116495817445172E-2</v>
      </c>
      <c r="K111" s="208">
        <f>IF(ISNUMBER('Chemical Properties'!E59),IF(0.0004*LN('Chemical Properties'!E59)+0.007&gt;1,1,IF(0.0004*LN('Chemical Properties'!E59)+0.007&lt;0,0,0.0004*LN('Chemical Properties'!E59)+0.007)),IF(0.0004*LN('Chemical Properties'!E22)+0.007&gt;1,1,IF(0.0004*LN('Chemical Properties'!E22)+0.007&lt;0,0,0.0004*LN('Chemical Properties'!E22)+0.007)))</f>
        <v>5.7952553378064504E-3</v>
      </c>
      <c r="L111" s="209">
        <f t="shared" si="30"/>
        <v>2.8976276689032278E-4</v>
      </c>
      <c r="Q111" s="210"/>
    </row>
    <row r="112" spans="1:17">
      <c r="A112" s="65" t="s">
        <v>79</v>
      </c>
      <c r="B112" s="208">
        <f>IF(ISNUMBER('Chemical Properties'!E60),IF(0.035*LN('Chemical Properties'!E60)+0.4079&gt;1,1,IF(0.035*LN('Chemical Properties'!E60)+0.4079&lt;0,0,0.035*LN('Chemical Properties'!E60)+0.4079)),IF(0.035*LN('Chemical Properties'!E23)+0.4079&gt;1,1,IF(0.035*LN('Chemical Properties'!E23)+0.4079&lt;0,0,0.035*LN('Chemical Properties'!E23)+0.4079)))</f>
        <v>0.17790509351736764</v>
      </c>
      <c r="C112" s="209">
        <f t="shared" si="26"/>
        <v>8.895254675868389E-3</v>
      </c>
      <c r="D112" s="208">
        <f>IF(ISNUMBER('Chemical Properties'!E60),IF(0.005*LN('Chemical Properties'!E60)+0.0658&gt;1,1,IF(0.005*LN('Chemical Properties'!E60)+0.0658&lt;0,0,0.005*LN('Chemical Properties'!E60)+0.0658)),IF(0.005*LN('Chemical Properties'!E23)+0.0658&gt;1,1,IF(0.005*LN('Chemical Properties'!E23)+0.0658&lt;0,0,0.005*LN('Chemical Properties'!E23)+0.0658)))</f>
        <v>3.2943584788195375E-2</v>
      </c>
      <c r="E112" s="208">
        <f>IF(ISNUMBER('Chemical Properties'!E60),IF(0.009*LN('Chemical Properties'!E60)+0.1036&gt;1,1,IF(0.009*LN('Chemical Properties'!E60)+0.1036&lt;0,0,0.009*LN('Chemical Properties'!E60)+0.1036)),IF(0.009*LN('Chemical Properties'!E23)+0.1036&gt;1,1,IF(0.009*LN('Chemical Properties'!E23)+0.1036&lt;0,0,0.009*LN('Chemical Properties'!E23)+0.1036)))</f>
        <v>4.4458452618751684E-2</v>
      </c>
      <c r="F112" s="209">
        <f t="shared" si="27"/>
        <v>2.222922630937586E-3</v>
      </c>
      <c r="G112" s="208">
        <f>IF(ISNUMBER('Chemical Properties'!E60),IF(0.0105*LN('Chemical Properties'!E60)+0.1416&gt;1,1,IF(0.0105*LN('Chemical Properties'!E60)+0.1416&lt;0,0,0.0105*LN('Chemical Properties'!E60)+0.1416)),IF(0.0105*LN('Chemical Properties'!E23)+0.1416&gt;1,1,IF(0.0105*LN('Chemical Properties'!E23)+0.1416&lt;0,0,0.0105*LN('Chemical Properties'!E23)+0.1416)))</f>
        <v>7.2601528055210293E-2</v>
      </c>
      <c r="H112" s="209">
        <f t="shared" si="28"/>
        <v>3.630076402760518E-3</v>
      </c>
      <c r="I112" s="208">
        <f>IF(ISNUMBER('Chemical Properties'!E60),IF(0.0312*LN('Chemical Properties'!E60)+0.4163&gt;1,1,IF(0.0312*LN('Chemical Properties'!E60)+0.4163&lt;0,0,0.0312*LN('Chemical Properties'!E60)+0.4163)),IF(0.0312*LN('Chemical Properties'!E23)+0.4163&gt;1,1,IF(0.0312*LN('Chemical Properties'!E23)+0.4163&lt;0,0,0.0312*LN('Chemical Properties'!E23)+0.4163)))</f>
        <v>0.21127596907833918</v>
      </c>
      <c r="J112" s="209">
        <f t="shared" si="29"/>
        <v>1.0563798453916967E-2</v>
      </c>
      <c r="K112" s="208">
        <f>IF(ISNUMBER('Chemical Properties'!E60),IF(0.0004*LN('Chemical Properties'!E60)+0.007&gt;1,1,IF(0.0004*LN('Chemical Properties'!E60)+0.007&lt;0,0,0.0004*LN('Chemical Properties'!E60)+0.007)),IF(0.0004*LN('Chemical Properties'!E23)+0.007&gt;1,1,IF(0.0004*LN('Chemical Properties'!E23)+0.007&lt;0,0,0.0004*LN('Chemical Properties'!E23)+0.007)))</f>
        <v>4.3714867830556298E-3</v>
      </c>
      <c r="L112" s="209">
        <f t="shared" si="30"/>
        <v>2.1857433915278168E-4</v>
      </c>
      <c r="Q112" s="210"/>
    </row>
    <row r="113" spans="1:20">
      <c r="A113" s="65" t="s">
        <v>15</v>
      </c>
      <c r="B113" s="208">
        <f>IF(ISNUMBER('Chemical Properties'!E61),IF(0.035*LN('Chemical Properties'!E61)+0.4079&gt;1,1,IF(0.035*LN('Chemical Properties'!E61)+0.4079&lt;0,0,0.035*LN('Chemical Properties'!E61)+0.4079)),IF(0.035*LN('Chemical Properties'!E24)+0.4079&gt;1,1,IF(0.035*LN('Chemical Properties'!E24)+0.4079&lt;0,0,0.035*LN('Chemical Properties'!E24)+0.4079)))</f>
        <v>0</v>
      </c>
      <c r="C113" s="209">
        <f t="shared" si="26"/>
        <v>0</v>
      </c>
      <c r="D113" s="208">
        <f>IF(ISNUMBER('Chemical Properties'!E61),IF(0.005*LN('Chemical Properties'!E61)+0.0658&gt;1,1,IF(0.005*LN('Chemical Properties'!E61)+0.0658&lt;0,0,0.005*LN('Chemical Properties'!E61)+0.0658)),IF(0.005*LN('Chemical Properties'!E24)+0.0658&gt;1,1,IF(0.005*LN('Chemical Properties'!E24)+0.0658&lt;0,0,0.005*LN('Chemical Properties'!E24)+0.0658)))</f>
        <v>0</v>
      </c>
      <c r="E113" s="208">
        <f>IF(ISNUMBER('Chemical Properties'!E61),IF(0.009*LN('Chemical Properties'!E61)+0.1036&gt;1,1,IF(0.009*LN('Chemical Properties'!E61)+0.1036&lt;0,0,0.009*LN('Chemical Properties'!E61)+0.1036)),IF(0.009*LN('Chemical Properties'!E24)+0.1036&gt;1,1,IF(0.009*LN('Chemical Properties'!E24)+0.1036&lt;0,0,0.009*LN('Chemical Properties'!E24)+0.1036)))</f>
        <v>0</v>
      </c>
      <c r="F113" s="209">
        <f t="shared" si="27"/>
        <v>0</v>
      </c>
      <c r="G113" s="208">
        <f>IF(ISNUMBER('Chemical Properties'!E61),IF(0.0105*LN('Chemical Properties'!E61)+0.1416&gt;1,1,IF(0.0105*LN('Chemical Properties'!E61)+0.1416&lt;0,0,0.0105*LN('Chemical Properties'!E61)+0.1416)),IF(0.0105*LN('Chemical Properties'!E24)+0.1416&gt;1,1,IF(0.0105*LN('Chemical Properties'!E24)+0.1416&lt;0,0,0.0105*LN('Chemical Properties'!E24)+0.1416)))</f>
        <v>0</v>
      </c>
      <c r="H113" s="209">
        <f t="shared" si="28"/>
        <v>0</v>
      </c>
      <c r="I113" s="208">
        <f>IF(ISNUMBER('Chemical Properties'!E61),IF(0.0312*LN('Chemical Properties'!E61)+0.4163&gt;1,1,IF(0.0312*LN('Chemical Properties'!E61)+0.4163&lt;0,0,0.0312*LN('Chemical Properties'!E61)+0.4163)),IF(0.0312*LN('Chemical Properties'!E24)+0.4163&gt;1,1,IF(0.0312*LN('Chemical Properties'!E24)+0.4163&lt;0,0,0.0312*LN('Chemical Properties'!E24)+0.4163)))</f>
        <v>0</v>
      </c>
      <c r="J113" s="209">
        <f t="shared" si="29"/>
        <v>0</v>
      </c>
      <c r="K113" s="208">
        <f>IF(ISNUMBER('Chemical Properties'!E61),IF(0.0004*LN('Chemical Properties'!E61)+0.007&gt;1,1,IF(0.0004*LN('Chemical Properties'!E61)+0.007&lt;0,0,0.0004*LN('Chemical Properties'!E61)+0.007)),IF(0.0004*LN('Chemical Properties'!E24)+0.007&gt;1,1,IF(0.0004*LN('Chemical Properties'!E24)+0.007&lt;0,0,0.0004*LN('Chemical Properties'!E24)+0.007)))</f>
        <v>0</v>
      </c>
      <c r="L113" s="209">
        <f t="shared" si="30"/>
        <v>0</v>
      </c>
      <c r="Q113" s="210"/>
    </row>
    <row r="114" spans="1:20">
      <c r="A114" s="65" t="s">
        <v>80</v>
      </c>
      <c r="B114" s="208">
        <f>IF(ISNUMBER('Chemical Properties'!E62),IF(0.035*LN('Chemical Properties'!E62)+0.4079&gt;1,1,IF(0.035*LN('Chemical Properties'!E62)+0.4079&lt;0,0,0.035*LN('Chemical Properties'!E62)+0.4079)),IF(0.035*LN('Chemical Properties'!E25)+0.4079&gt;1,1,IF(0.035*LN('Chemical Properties'!E25)+0.4079&lt;0,0,0.035*LN('Chemical Properties'!E25)+0.4079)))</f>
        <v>0.44669969168324469</v>
      </c>
      <c r="C114" s="209">
        <f t="shared" si="26"/>
        <v>2.2334984584162255E-2</v>
      </c>
      <c r="D114" s="208">
        <f>IF(ISNUMBER('Chemical Properties'!E62),IF(0.005*LN('Chemical Properties'!E62)+0.0658&gt;1,1,IF(0.005*LN('Chemical Properties'!E62)+0.0658&lt;0,0,0.005*LN('Chemical Properties'!E62)+0.0658)),IF(0.005*LN('Chemical Properties'!E25)+0.0658&gt;1,1,IF(0.005*LN('Chemical Properties'!E25)+0.0658&lt;0,0,0.005*LN('Chemical Properties'!E25)+0.0658)))</f>
        <v>7.1342813097606386E-2</v>
      </c>
      <c r="E114" s="208">
        <f>IF(ISNUMBER('Chemical Properties'!E62),IF(0.009*LN('Chemical Properties'!E62)+0.1036&gt;1,1,IF(0.009*LN('Chemical Properties'!E62)+0.1036&lt;0,0,0.009*LN('Chemical Properties'!E62)+0.1036)),IF(0.009*LN('Chemical Properties'!E25)+0.1036&gt;1,1,IF(0.009*LN('Chemical Properties'!E25)+0.1036&lt;0,0,0.009*LN('Chemical Properties'!E25)+0.1036)))</f>
        <v>0.1135770635756915</v>
      </c>
      <c r="F114" s="209">
        <f t="shared" si="27"/>
        <v>5.6788531787845802E-3</v>
      </c>
      <c r="G114" s="208">
        <f>IF(ISNUMBER('Chemical Properties'!E62),IF(0.0105*LN('Chemical Properties'!E62)+0.1416&gt;1,1,IF(0.0105*LN('Chemical Properties'!E62)+0.1416&lt;0,0,0.0105*LN('Chemical Properties'!E62)+0.1416)),IF(0.0105*LN('Chemical Properties'!E25)+0.1416&gt;1,1,IF(0.0105*LN('Chemical Properties'!E25)+0.1416&lt;0,0,0.0105*LN('Chemical Properties'!E25)+0.1416)))</f>
        <v>0.15323990750497343</v>
      </c>
      <c r="H114" s="209">
        <f t="shared" si="28"/>
        <v>7.6619953752486781E-3</v>
      </c>
      <c r="I114" s="208">
        <f>IF(ISNUMBER('Chemical Properties'!E62),IF(0.0312*LN('Chemical Properties'!E62)+0.4163&gt;1,1,IF(0.0312*LN('Chemical Properties'!E62)+0.4163&lt;0,0,0.0312*LN('Chemical Properties'!E62)+0.4163)),IF(0.0312*LN('Chemical Properties'!E25)+0.4163&gt;1,1,IF(0.0312*LN('Chemical Properties'!E25)+0.4163&lt;0,0,0.0312*LN('Chemical Properties'!E25)+0.4163)))</f>
        <v>0.45088715372906385</v>
      </c>
      <c r="J114" s="209">
        <f t="shared" si="29"/>
        <v>2.2544357686453211E-2</v>
      </c>
      <c r="K114" s="208">
        <f>IF(ISNUMBER('Chemical Properties'!E62),IF(0.0004*LN('Chemical Properties'!E62)+0.007&gt;1,1,IF(0.0004*LN('Chemical Properties'!E62)+0.007&lt;0,0,0.0004*LN('Chemical Properties'!E62)+0.007)),IF(0.0004*LN('Chemical Properties'!E25)+0.007&gt;1,1,IF(0.0004*LN('Chemical Properties'!E25)+0.007&lt;0,0,0.0004*LN('Chemical Properties'!E25)+0.007)))</f>
        <v>7.4434250478085115E-3</v>
      </c>
      <c r="L114" s="209">
        <f t="shared" si="30"/>
        <v>3.7217125239042591E-4</v>
      </c>
      <c r="Q114" s="210"/>
    </row>
    <row r="115" spans="1:20">
      <c r="A115" s="65" t="s">
        <v>59</v>
      </c>
      <c r="B115" s="208" t="e">
        <f>IF(ISNUMBER('Chemical Properties'!E63),IF(0.035*LN('Chemical Properties'!E63)+0.4079&gt;1,1,IF(0.035*LN('Chemical Properties'!E63)+0.4079&lt;0,0,0.035*LN('Chemical Properties'!E63)+0.4079)),IF(0.035*LN('Chemical Properties'!E26)+0.4079&gt;1,1,IF(0.035*LN('Chemical Properties'!E26)+0.4079&lt;0,0,0.035*LN('Chemical Properties'!E26)+0.4079)))</f>
        <v>#NUM!</v>
      </c>
      <c r="C115" s="209" t="e">
        <f t="shared" si="26"/>
        <v>#NUM!</v>
      </c>
      <c r="D115" s="208" t="e">
        <f>IF(ISNUMBER('Chemical Properties'!E63),IF(0.005*LN('Chemical Properties'!E63)+0.0658&gt;1,1,IF(0.005*LN('Chemical Properties'!E63)+0.0658&lt;0,0,0.005*LN('Chemical Properties'!E63)+0.0658)),IF(0.005*LN('Chemical Properties'!E26)+0.0658&gt;1,1,IF(0.005*LN('Chemical Properties'!E26)+0.0658&lt;0,0,0.005*LN('Chemical Properties'!E26)+0.0658)))</f>
        <v>#NUM!</v>
      </c>
      <c r="E115" s="208" t="e">
        <f>IF(ISNUMBER('Chemical Properties'!E63),IF(0.009*LN('Chemical Properties'!E63)+0.1036&gt;1,1,IF(0.009*LN('Chemical Properties'!E63)+0.1036&lt;0,0,0.009*LN('Chemical Properties'!E63)+0.1036)),IF(0.009*LN('Chemical Properties'!E26)+0.1036&gt;1,1,IF(0.009*LN('Chemical Properties'!E26)+0.1036&lt;0,0,0.009*LN('Chemical Properties'!E26)+0.1036)))</f>
        <v>#NUM!</v>
      </c>
      <c r="F115" s="209" t="e">
        <f t="shared" si="27"/>
        <v>#NUM!</v>
      </c>
      <c r="G115" s="208" t="e">
        <f>IF(ISNUMBER('Chemical Properties'!E63),IF(0.0105*LN('Chemical Properties'!E63)+0.1416&gt;1,1,IF(0.0105*LN('Chemical Properties'!E63)+0.1416&lt;0,0,0.0105*LN('Chemical Properties'!E63)+0.1416)),IF(0.0105*LN('Chemical Properties'!E26)+0.1416&gt;1,1,IF(0.0105*LN('Chemical Properties'!E26)+0.1416&lt;0,0,0.0105*LN('Chemical Properties'!E26)+0.1416)))</f>
        <v>#NUM!</v>
      </c>
      <c r="H115" s="209" t="e">
        <f t="shared" si="28"/>
        <v>#NUM!</v>
      </c>
      <c r="I115" s="208" t="e">
        <f>IF(ISNUMBER('Chemical Properties'!E63),IF(0.0312*LN('Chemical Properties'!E63)+0.4163&gt;1,1,IF(0.0312*LN('Chemical Properties'!E63)+0.4163&lt;0,0,0.0312*LN('Chemical Properties'!E63)+0.4163)),IF(0.0312*LN('Chemical Properties'!E26)+0.4163&gt;1,1,IF(0.0312*LN('Chemical Properties'!E26)+0.4163&lt;0,0,0.0312*LN('Chemical Properties'!E26)+0.4163)))</f>
        <v>#NUM!</v>
      </c>
      <c r="J115" s="209" t="e">
        <f t="shared" si="29"/>
        <v>#NUM!</v>
      </c>
      <c r="K115" s="208" t="e">
        <f>IF(ISNUMBER('Chemical Properties'!E63),IF(0.0004*LN('Chemical Properties'!E63)+0.007&gt;1,1,IF(0.0004*LN('Chemical Properties'!E63)+0.007&lt;0,0,0.0004*LN('Chemical Properties'!E63)+0.007)),IF(0.0004*LN('Chemical Properties'!E26)+0.007&gt;1,1,IF(0.0004*LN('Chemical Properties'!E26)+0.007&lt;0,0,0.0004*LN('Chemical Properties'!E26)+0.007)))</f>
        <v>#NUM!</v>
      </c>
      <c r="L115" s="209" t="e">
        <f t="shared" si="30"/>
        <v>#NUM!</v>
      </c>
      <c r="Q115" s="210"/>
    </row>
    <row r="116" spans="1:20">
      <c r="A116" s="81" t="s">
        <v>60</v>
      </c>
      <c r="B116" s="208" t="e">
        <f>IF(ISNUMBER('Chemical Properties'!E64),IF(0.035*LN('Chemical Properties'!E64)+0.4079&gt;1,1,IF(0.035*LN('Chemical Properties'!E64)+0.4079&lt;0,0,0.035*LN('Chemical Properties'!E64)+0.4079)),IF(0.035*LN('Chemical Properties'!E27)+0.4079&gt;1,1,IF(0.035*LN('Chemical Properties'!E27)+0.4079&lt;0,0,0.035*LN('Chemical Properties'!E27)+0.4079)))</f>
        <v>#NUM!</v>
      </c>
      <c r="C116" s="209" t="e">
        <f t="shared" si="26"/>
        <v>#NUM!</v>
      </c>
      <c r="D116" s="208" t="e">
        <f>IF(ISNUMBER('Chemical Properties'!E64),IF(0.005*LN('Chemical Properties'!E64)+0.0658&gt;1,1,IF(0.005*LN('Chemical Properties'!E64)+0.0658&lt;0,0,0.005*LN('Chemical Properties'!E64)+0.0658)),IF(0.005*LN('Chemical Properties'!E27)+0.0658&gt;1,1,IF(0.005*LN('Chemical Properties'!E27)+0.0658&lt;0,0,0.005*LN('Chemical Properties'!E27)+0.0658)))</f>
        <v>#NUM!</v>
      </c>
      <c r="E116" s="208" t="e">
        <f>IF(ISNUMBER('Chemical Properties'!E64),IF(0.009*LN('Chemical Properties'!E64)+0.1036&gt;1,1,IF(0.009*LN('Chemical Properties'!E64)+0.1036&lt;0,0,0.009*LN('Chemical Properties'!E64)+0.1036)),IF(0.009*LN('Chemical Properties'!E27)+0.1036&gt;1,1,IF(0.009*LN('Chemical Properties'!E27)+0.1036&lt;0,0,0.009*LN('Chemical Properties'!E27)+0.1036)))</f>
        <v>#NUM!</v>
      </c>
      <c r="F116" s="209" t="e">
        <f t="shared" si="27"/>
        <v>#NUM!</v>
      </c>
      <c r="G116" s="208" t="e">
        <f>IF(ISNUMBER('Chemical Properties'!E64),IF(0.0105*LN('Chemical Properties'!E64)+0.1416&gt;1,1,IF(0.0105*LN('Chemical Properties'!E64)+0.1416&lt;0,0,0.0105*LN('Chemical Properties'!E64)+0.1416)),IF(0.0105*LN('Chemical Properties'!E27)+0.1416&gt;1,1,IF(0.0105*LN('Chemical Properties'!E27)+0.1416&lt;0,0,0.0105*LN('Chemical Properties'!E27)+0.1416)))</f>
        <v>#NUM!</v>
      </c>
      <c r="H116" s="209" t="e">
        <f t="shared" si="28"/>
        <v>#NUM!</v>
      </c>
      <c r="I116" s="208" t="e">
        <f>IF(ISNUMBER('Chemical Properties'!E64),IF(0.0312*LN('Chemical Properties'!E64)+0.4163&gt;1,1,IF(0.0312*LN('Chemical Properties'!E64)+0.4163&lt;0,0,0.0312*LN('Chemical Properties'!E64)+0.4163)),IF(0.0312*LN('Chemical Properties'!E27)+0.4163&gt;1,1,IF(0.0312*LN('Chemical Properties'!E27)+0.4163&lt;0,0,0.0312*LN('Chemical Properties'!E27)+0.4163)))</f>
        <v>#NUM!</v>
      </c>
      <c r="J116" s="209" t="e">
        <f t="shared" si="29"/>
        <v>#NUM!</v>
      </c>
      <c r="K116" s="208" t="e">
        <f>IF(ISNUMBER('Chemical Properties'!E64),IF(0.0004*LN('Chemical Properties'!E64)+0.007&gt;1,1,IF(0.0004*LN('Chemical Properties'!E64)+0.007&lt;0,0,0.0004*LN('Chemical Properties'!E64)+0.007)),IF(0.0004*LN('Chemical Properties'!E27)+0.007&gt;1,1,IF(0.0004*LN('Chemical Properties'!E27)+0.007&lt;0,0,0.0004*LN('Chemical Properties'!E27)+0.007)))</f>
        <v>#NUM!</v>
      </c>
      <c r="L116" s="209" t="e">
        <f t="shared" si="30"/>
        <v>#NUM!</v>
      </c>
      <c r="Q116" s="210"/>
    </row>
    <row r="117" spans="1:20">
      <c r="A117" s="175" t="s">
        <v>61</v>
      </c>
      <c r="B117" s="208" t="e">
        <f>IF(ISNUMBER('Chemical Properties'!E65),IF(0.035*LN('Chemical Properties'!E65)+0.4079&gt;1,1,IF(0.035*LN('Chemical Properties'!E65)+0.4079&lt;0,0,0.035*LN('Chemical Properties'!E65)+0.4079)),IF(0.035*LN('Chemical Properties'!E28)+0.4079&gt;1,1,IF(0.035*LN('Chemical Properties'!E28)+0.4079&lt;0,0,0.035*LN('Chemical Properties'!E28)+0.4079)))</f>
        <v>#NUM!</v>
      </c>
      <c r="C117" s="209" t="e">
        <f t="shared" si="26"/>
        <v>#NUM!</v>
      </c>
      <c r="D117" s="208" t="e">
        <f>IF(ISNUMBER('Chemical Properties'!E65),IF(0.005*LN('Chemical Properties'!E65)+0.0658&gt;1,1,IF(0.005*LN('Chemical Properties'!E65)+0.0658&lt;0,0,0.005*LN('Chemical Properties'!E65)+0.0658)),IF(0.005*LN('Chemical Properties'!E28)+0.0658&gt;1,1,IF(0.005*LN('Chemical Properties'!E28)+0.0658&lt;0,0,0.005*LN('Chemical Properties'!E28)+0.0658)))</f>
        <v>#NUM!</v>
      </c>
      <c r="E117" s="208" t="e">
        <f>IF(ISNUMBER('Chemical Properties'!E65),IF(0.009*LN('Chemical Properties'!E65)+0.1036&gt;1,1,IF(0.009*LN('Chemical Properties'!E65)+0.1036&lt;0,0,0.009*LN('Chemical Properties'!E65)+0.1036)),IF(0.009*LN('Chemical Properties'!E28)+0.1036&gt;1,1,IF(0.009*LN('Chemical Properties'!E28)+0.1036&lt;0,0,0.009*LN('Chemical Properties'!E28)+0.1036)))</f>
        <v>#NUM!</v>
      </c>
      <c r="F117" s="209" t="e">
        <f t="shared" si="27"/>
        <v>#NUM!</v>
      </c>
      <c r="G117" s="208" t="e">
        <f>IF(ISNUMBER('Chemical Properties'!E65),IF(0.0105*LN('Chemical Properties'!E65)+0.1416&gt;1,1,IF(0.0105*LN('Chemical Properties'!E65)+0.1416&lt;0,0,0.0105*LN('Chemical Properties'!E65)+0.1416)),IF(0.0105*LN('Chemical Properties'!E28)+0.1416&gt;1,1,IF(0.0105*LN('Chemical Properties'!E28)+0.1416&lt;0,0,0.0105*LN('Chemical Properties'!E28)+0.1416)))</f>
        <v>#NUM!</v>
      </c>
      <c r="H117" s="209" t="e">
        <f t="shared" si="28"/>
        <v>#NUM!</v>
      </c>
      <c r="I117" s="208" t="e">
        <f>IF(ISNUMBER('Chemical Properties'!E65),IF(0.0312*LN('Chemical Properties'!E65)+0.4163&gt;1,1,IF(0.0312*LN('Chemical Properties'!E65)+0.4163&lt;0,0,0.0312*LN('Chemical Properties'!E65)+0.4163)),IF(0.0312*LN('Chemical Properties'!E28)+0.4163&gt;1,1,IF(0.0312*LN('Chemical Properties'!E28)+0.4163&lt;0,0,0.0312*LN('Chemical Properties'!E28)+0.4163)))</f>
        <v>#NUM!</v>
      </c>
      <c r="J117" s="209" t="e">
        <f t="shared" si="29"/>
        <v>#NUM!</v>
      </c>
      <c r="K117" s="208" t="e">
        <f>IF(ISNUMBER('Chemical Properties'!E65),IF(0.0004*LN('Chemical Properties'!E65)+0.007&gt;1,1,IF(0.0004*LN('Chemical Properties'!E65)+0.007&lt;0,0,0.0004*LN('Chemical Properties'!E65)+0.007)),IF(0.0004*LN('Chemical Properties'!E28)+0.007&gt;1,1,IF(0.0004*LN('Chemical Properties'!E28)+0.007&lt;0,0,0.0004*LN('Chemical Properties'!E28)+0.007)))</f>
        <v>#NUM!</v>
      </c>
      <c r="L117" s="209" t="e">
        <f t="shared" si="30"/>
        <v>#NUM!</v>
      </c>
      <c r="Q117" s="210"/>
    </row>
    <row r="118" spans="1:20">
      <c r="A118" s="65" t="s">
        <v>256</v>
      </c>
      <c r="B118" s="208">
        <f>IF(ISNUMBER('Chemical Properties'!E66),IF(0.035*LN('Chemical Properties'!E66)+0.4079&gt;1,1,IF(0.035*LN('Chemical Properties'!E66)+0.4079&lt;0,0,0.035*LN('Chemical Properties'!E66)+0.4079)),IF(0.035*LN('Chemical Properties'!E29)+0.4079&gt;1,1,IF(0.035*LN('Chemical Properties'!E29)+0.4079&lt;0,0,0.035*LN('Chemical Properties'!E29)+0.4079)))</f>
        <v>0.40610473469643571</v>
      </c>
      <c r="C118" s="209">
        <f t="shared" si="26"/>
        <v>2.0305236734821805E-2</v>
      </c>
      <c r="D118" s="208">
        <f>IF(ISNUMBER('Chemical Properties'!E66),IF(0.005*LN('Chemical Properties'!E66)+0.0658&gt;1,1,IF(0.005*LN('Chemical Properties'!E66)+0.0658&lt;0,0,0.005*LN('Chemical Properties'!E66)+0.0658)),IF(0.005*LN('Chemical Properties'!E29)+0.0658&gt;1,1,IF(0.005*LN('Chemical Properties'!E29)+0.0658&lt;0,0,0.005*LN('Chemical Properties'!E29)+0.0658)))</f>
        <v>6.5543533528062248E-2</v>
      </c>
      <c r="E118" s="208">
        <f>IF(ISNUMBER('Chemical Properties'!E66),IF(0.009*LN('Chemical Properties'!E66)+0.1036&gt;1,1,IF(0.009*LN('Chemical Properties'!E66)+0.1036&lt;0,0,0.009*LN('Chemical Properties'!E66)+0.1036)),IF(0.009*LN('Chemical Properties'!E29)+0.1036&gt;1,1,IF(0.009*LN('Chemical Properties'!E29)+0.1036&lt;0,0,0.009*LN('Chemical Properties'!E29)+0.1036)))</f>
        <v>0.10313836035051205</v>
      </c>
      <c r="F118" s="209">
        <f t="shared" si="27"/>
        <v>5.1569180175256068E-3</v>
      </c>
      <c r="G118" s="208">
        <f>IF(ISNUMBER('Chemical Properties'!E66),IF(0.0105*LN('Chemical Properties'!E66)+0.1416&gt;1,1,IF(0.0105*LN('Chemical Properties'!E66)+0.1416&lt;0,0,0.0105*LN('Chemical Properties'!E66)+0.1416)),IF(0.0105*LN('Chemical Properties'!E29)+0.1416&gt;1,1,IF(0.0105*LN('Chemical Properties'!E29)+0.1416&lt;0,0,0.0105*LN('Chemical Properties'!E29)+0.1416)))</f>
        <v>0.14106142040893072</v>
      </c>
      <c r="H118" s="209">
        <f t="shared" si="28"/>
        <v>7.0530710204465422E-3</v>
      </c>
      <c r="I118" s="208">
        <f>IF(ISNUMBER('Chemical Properties'!E66),IF(0.0312*LN('Chemical Properties'!E66)+0.4163&gt;1,1,IF(0.0312*LN('Chemical Properties'!E66)+0.4163&lt;0,0,0.0312*LN('Chemical Properties'!E66)+0.4163)),IF(0.0312*LN('Chemical Properties'!E29)+0.4163&gt;1,1,IF(0.0312*LN('Chemical Properties'!E29)+0.4163&lt;0,0,0.0312*LN('Chemical Properties'!E29)+0.4163)))</f>
        <v>0.41469964921510843</v>
      </c>
      <c r="J118" s="209">
        <f t="shared" si="29"/>
        <v>2.073498246075544E-2</v>
      </c>
      <c r="K118" s="208">
        <f>IF(ISNUMBER('Chemical Properties'!E66),IF(0.0004*LN('Chemical Properties'!E66)+0.007&gt;1,1,IF(0.0004*LN('Chemical Properties'!E66)+0.007&lt;0,0,0.0004*LN('Chemical Properties'!E66)+0.007)),IF(0.0004*LN('Chemical Properties'!E29)+0.007&gt;1,1,IF(0.0004*LN('Chemical Properties'!E29)+0.007&lt;0,0,0.0004*LN('Chemical Properties'!E29)+0.007)))</f>
        <v>6.9794826822449797E-3</v>
      </c>
      <c r="L118" s="209">
        <f t="shared" si="30"/>
        <v>3.489741341122493E-4</v>
      </c>
      <c r="Q118" s="210"/>
    </row>
    <row r="119" spans="1:20">
      <c r="A119" s="212"/>
      <c r="B119" s="220"/>
      <c r="C119" s="221"/>
      <c r="D119" s="220"/>
      <c r="E119" s="220"/>
      <c r="F119" s="221"/>
      <c r="G119" s="220"/>
      <c r="H119" s="221"/>
      <c r="I119" s="220"/>
      <c r="J119" s="221"/>
      <c r="K119" s="220"/>
      <c r="L119" s="221"/>
      <c r="Q119" s="223"/>
      <c r="R119" s="200"/>
      <c r="S119" s="200"/>
    </row>
    <row r="120" spans="1:20">
      <c r="B120" s="210"/>
      <c r="C120" s="210"/>
      <c r="D120" s="210"/>
      <c r="E120" s="210"/>
      <c r="F120" s="210"/>
      <c r="G120" s="210"/>
      <c r="H120" s="210"/>
      <c r="I120" s="210"/>
      <c r="J120" s="210"/>
      <c r="K120" s="210"/>
      <c r="L120" s="210"/>
      <c r="M120" s="210"/>
      <c r="Q120" s="200"/>
      <c r="R120" s="200"/>
      <c r="S120" s="200"/>
      <c r="T120" s="57"/>
    </row>
    <row r="121" spans="1:20">
      <c r="M121" s="210"/>
      <c r="T121" s="57"/>
    </row>
    <row r="122" spans="1:20">
      <c r="M122" s="210"/>
      <c r="T122" s="57"/>
    </row>
    <row r="123" spans="1:20">
      <c r="M123" s="210"/>
    </row>
    <row r="124" spans="1:20">
      <c r="M124" s="210"/>
    </row>
    <row r="125" spans="1:20">
      <c r="M125" s="210"/>
    </row>
  </sheetData>
  <mergeCells count="22">
    <mergeCell ref="A1:E1"/>
    <mergeCell ref="BZ24:CC24"/>
    <mergeCell ref="AH24:AK24"/>
    <mergeCell ref="AL24:AO24"/>
    <mergeCell ref="AP24:AS24"/>
    <mergeCell ref="AT24:AW24"/>
    <mergeCell ref="AX24:BA24"/>
    <mergeCell ref="BB24:BE24"/>
    <mergeCell ref="BF24:BI24"/>
    <mergeCell ref="BJ24:BM24"/>
    <mergeCell ref="BN24:BQ24"/>
    <mergeCell ref="BR24:BU24"/>
    <mergeCell ref="BV24:BY24"/>
    <mergeCell ref="A58:G58"/>
    <mergeCell ref="V24:Y24"/>
    <mergeCell ref="Z24:AC24"/>
    <mergeCell ref="AD24:AG24"/>
    <mergeCell ref="B24:E24"/>
    <mergeCell ref="F24:I24"/>
    <mergeCell ref="J24:M24"/>
    <mergeCell ref="N24:Q24"/>
    <mergeCell ref="R24:U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S106"/>
  <sheetViews>
    <sheetView workbookViewId="0">
      <selection activeCell="B3" sqref="B3"/>
    </sheetView>
  </sheetViews>
  <sheetFormatPr defaultRowHeight="14.25" customHeight="1"/>
  <cols>
    <col min="1" max="1" width="28.7109375" style="54" customWidth="1"/>
    <col min="2" max="3" width="9.140625" style="54"/>
    <col min="4" max="4" width="4.28515625" style="54" customWidth="1"/>
    <col min="5" max="5" width="35.140625" style="54" customWidth="1"/>
    <col min="6" max="6" width="9.7109375" style="54" customWidth="1"/>
    <col min="7" max="7" width="15.140625" style="54" customWidth="1"/>
    <col min="8" max="8" width="18" style="54" customWidth="1"/>
    <col min="9" max="9" width="4.5703125" style="54" customWidth="1"/>
    <col min="10" max="10" width="30.85546875" style="54" customWidth="1"/>
    <col min="11" max="11" width="13.28515625" style="54" customWidth="1"/>
    <col min="12" max="12" width="11.42578125" style="54" customWidth="1"/>
    <col min="13" max="13" width="36.140625" style="54" customWidth="1"/>
    <col min="14" max="15" width="9.140625" style="54"/>
    <col min="16" max="16" width="15.28515625" style="54" customWidth="1"/>
    <col min="17" max="17" width="14.85546875" style="54" customWidth="1"/>
    <col min="18" max="18" width="14.140625" style="54" customWidth="1"/>
    <col min="19" max="19" width="18.28515625" style="54" customWidth="1"/>
    <col min="20" max="20" width="9.140625" style="54"/>
    <col min="21" max="21" width="12.7109375" style="54" customWidth="1"/>
    <col min="22" max="16384" width="9.140625" style="54"/>
  </cols>
  <sheetData>
    <row r="1" spans="1:14" ht="63" customHeight="1">
      <c r="A1" s="305" t="s">
        <v>266</v>
      </c>
      <c r="B1" s="300"/>
      <c r="C1" s="300"/>
      <c r="D1" s="300"/>
      <c r="E1" s="300"/>
    </row>
    <row r="2" spans="1:14" ht="12.75">
      <c r="A2" s="68" t="s">
        <v>127</v>
      </c>
      <c r="B2" s="68" t="s">
        <v>4</v>
      </c>
      <c r="C2" s="68" t="s">
        <v>5</v>
      </c>
      <c r="E2" s="68" t="s">
        <v>24</v>
      </c>
      <c r="F2" s="68" t="s">
        <v>4</v>
      </c>
      <c r="G2" s="68" t="s">
        <v>5</v>
      </c>
      <c r="H2" s="68" t="s">
        <v>57</v>
      </c>
      <c r="J2" s="68" t="s">
        <v>22</v>
      </c>
      <c r="K2" s="68" t="s">
        <v>4</v>
      </c>
      <c r="L2" s="68" t="s">
        <v>5</v>
      </c>
      <c r="M2" s="68" t="s">
        <v>32</v>
      </c>
      <c r="N2" s="68" t="s">
        <v>5</v>
      </c>
    </row>
    <row r="3" spans="1:14" ht="15.75">
      <c r="A3" s="56" t="s">
        <v>144</v>
      </c>
      <c r="B3" s="70">
        <v>1.524</v>
      </c>
      <c r="C3" s="59" t="s">
        <v>46</v>
      </c>
      <c r="E3" s="71" t="s">
        <v>142</v>
      </c>
      <c r="F3" s="97">
        <f>H3</f>
        <v>2.4000000000000001E-5</v>
      </c>
      <c r="G3" s="119" t="s">
        <v>145</v>
      </c>
      <c r="H3" s="103">
        <v>2.4000000000000001E-5</v>
      </c>
      <c r="J3" s="60" t="s">
        <v>17</v>
      </c>
      <c r="K3" s="172">
        <f>R46*K79</f>
        <v>0</v>
      </c>
      <c r="L3" s="72" t="s">
        <v>23</v>
      </c>
      <c r="M3" s="173">
        <f t="shared" ref="M3:M24" si="0">(($B$4*B19)-K3)/$B$4</f>
        <v>0</v>
      </c>
      <c r="N3" s="59" t="s">
        <v>18</v>
      </c>
    </row>
    <row r="4" spans="1:14">
      <c r="A4" s="71" t="s">
        <v>143</v>
      </c>
      <c r="B4" s="75">
        <v>1</v>
      </c>
      <c r="C4" s="59" t="s">
        <v>19</v>
      </c>
      <c r="E4" s="71" t="s">
        <v>36</v>
      </c>
      <c r="F4" s="75">
        <f>H4</f>
        <v>8.2100000000000003E-5</v>
      </c>
      <c r="G4" s="72" t="s">
        <v>162</v>
      </c>
      <c r="H4" s="101">
        <v>8.2100000000000003E-5</v>
      </c>
      <c r="J4" s="62" t="s">
        <v>6</v>
      </c>
      <c r="K4" s="172">
        <f t="shared" ref="K4:K24" si="1">R47*K80</f>
        <v>0</v>
      </c>
      <c r="L4" s="72" t="s">
        <v>23</v>
      </c>
      <c r="M4" s="173">
        <f t="shared" si="0"/>
        <v>0</v>
      </c>
      <c r="N4" s="59" t="s">
        <v>18</v>
      </c>
    </row>
    <row r="5" spans="1:14">
      <c r="A5" s="56" t="s">
        <v>181</v>
      </c>
      <c r="B5" s="111">
        <v>3</v>
      </c>
      <c r="C5" s="59" t="s">
        <v>46</v>
      </c>
      <c r="E5" s="71" t="s">
        <v>58</v>
      </c>
      <c r="F5" s="75">
        <f t="shared" ref="F5" si="2">H5</f>
        <v>1E-3</v>
      </c>
      <c r="G5" s="59" t="s">
        <v>43</v>
      </c>
      <c r="H5" s="101">
        <v>1E-3</v>
      </c>
      <c r="J5" s="62" t="s">
        <v>13</v>
      </c>
      <c r="K5" s="172">
        <f t="shared" si="1"/>
        <v>0</v>
      </c>
      <c r="L5" s="72" t="s">
        <v>23</v>
      </c>
      <c r="M5" s="173">
        <f t="shared" si="0"/>
        <v>0</v>
      </c>
      <c r="N5" s="59" t="s">
        <v>18</v>
      </c>
    </row>
    <row r="6" spans="1:14">
      <c r="A6" s="56" t="s">
        <v>182</v>
      </c>
      <c r="B6" s="75">
        <v>0.1</v>
      </c>
      <c r="C6" s="72" t="s">
        <v>46</v>
      </c>
      <c r="J6" s="60" t="s">
        <v>69</v>
      </c>
      <c r="K6" s="172">
        <f t="shared" si="1"/>
        <v>0</v>
      </c>
      <c r="L6" s="72" t="s">
        <v>23</v>
      </c>
      <c r="M6" s="173">
        <f t="shared" si="0"/>
        <v>0</v>
      </c>
      <c r="N6" s="59" t="s">
        <v>18</v>
      </c>
    </row>
    <row r="7" spans="1:14">
      <c r="A7" s="71" t="s">
        <v>123</v>
      </c>
      <c r="B7" s="73">
        <v>25</v>
      </c>
      <c r="C7" s="59" t="s">
        <v>37</v>
      </c>
      <c r="J7" s="62" t="s">
        <v>9</v>
      </c>
      <c r="K7" s="172">
        <f t="shared" si="1"/>
        <v>0</v>
      </c>
      <c r="L7" s="72" t="s">
        <v>23</v>
      </c>
      <c r="M7" s="173">
        <f t="shared" si="0"/>
        <v>0</v>
      </c>
      <c r="N7" s="59" t="s">
        <v>18</v>
      </c>
    </row>
    <row r="8" spans="1:14">
      <c r="J8" s="63" t="s">
        <v>7</v>
      </c>
      <c r="K8" s="172">
        <f t="shared" si="1"/>
        <v>0</v>
      </c>
      <c r="L8" s="72" t="s">
        <v>23</v>
      </c>
      <c r="M8" s="173">
        <f t="shared" si="0"/>
        <v>0</v>
      </c>
      <c r="N8" s="59" t="s">
        <v>18</v>
      </c>
    </row>
    <row r="9" spans="1:14">
      <c r="J9" s="62" t="s">
        <v>8</v>
      </c>
      <c r="K9" s="172">
        <f t="shared" si="1"/>
        <v>0</v>
      </c>
      <c r="L9" s="72" t="s">
        <v>23</v>
      </c>
      <c r="M9" s="173">
        <f t="shared" si="0"/>
        <v>0</v>
      </c>
      <c r="N9" s="59" t="s">
        <v>18</v>
      </c>
    </row>
    <row r="10" spans="1:14">
      <c r="E10" s="161"/>
      <c r="J10" s="62" t="s">
        <v>11</v>
      </c>
      <c r="K10" s="172">
        <f t="shared" si="1"/>
        <v>0</v>
      </c>
      <c r="L10" s="72" t="s">
        <v>23</v>
      </c>
      <c r="M10" s="173">
        <f t="shared" si="0"/>
        <v>0</v>
      </c>
      <c r="N10" s="59" t="s">
        <v>18</v>
      </c>
    </row>
    <row r="11" spans="1:14">
      <c r="J11" s="63" t="s">
        <v>70</v>
      </c>
      <c r="K11" s="172">
        <f t="shared" si="1"/>
        <v>0</v>
      </c>
      <c r="L11" s="72" t="s">
        <v>23</v>
      </c>
      <c r="M11" s="173">
        <f t="shared" si="0"/>
        <v>0</v>
      </c>
      <c r="N11" s="59" t="s">
        <v>18</v>
      </c>
    </row>
    <row r="12" spans="1:14">
      <c r="J12" s="63" t="s">
        <v>16</v>
      </c>
      <c r="K12" s="172">
        <f t="shared" si="1"/>
        <v>0</v>
      </c>
      <c r="L12" s="72" t="s">
        <v>23</v>
      </c>
      <c r="M12" s="173">
        <f t="shared" si="0"/>
        <v>0</v>
      </c>
      <c r="N12" s="59" t="s">
        <v>18</v>
      </c>
    </row>
    <row r="13" spans="1:14">
      <c r="J13" s="60" t="s">
        <v>71</v>
      </c>
      <c r="K13" s="172">
        <f t="shared" si="1"/>
        <v>0</v>
      </c>
      <c r="L13" s="72" t="s">
        <v>23</v>
      </c>
      <c r="M13" s="173">
        <f t="shared" si="0"/>
        <v>0</v>
      </c>
      <c r="N13" s="59" t="s">
        <v>18</v>
      </c>
    </row>
    <row r="14" spans="1:14">
      <c r="G14" s="54" t="s">
        <v>146</v>
      </c>
      <c r="J14" s="62" t="s">
        <v>12</v>
      </c>
      <c r="K14" s="172">
        <f t="shared" si="1"/>
        <v>0</v>
      </c>
      <c r="L14" s="72" t="s">
        <v>23</v>
      </c>
      <c r="M14" s="173">
        <f t="shared" si="0"/>
        <v>0</v>
      </c>
      <c r="N14" s="59" t="s">
        <v>18</v>
      </c>
    </row>
    <row r="15" spans="1:14">
      <c r="J15" s="62" t="s">
        <v>10</v>
      </c>
      <c r="K15" s="172">
        <f t="shared" si="1"/>
        <v>0</v>
      </c>
      <c r="L15" s="72" t="s">
        <v>23</v>
      </c>
      <c r="M15" s="173">
        <f t="shared" si="0"/>
        <v>0</v>
      </c>
      <c r="N15" s="59" t="s">
        <v>18</v>
      </c>
    </row>
    <row r="16" spans="1:14">
      <c r="J16" s="63" t="s">
        <v>72</v>
      </c>
      <c r="K16" s="172">
        <f t="shared" si="1"/>
        <v>0</v>
      </c>
      <c r="L16" s="72" t="s">
        <v>23</v>
      </c>
      <c r="M16" s="173">
        <f t="shared" si="0"/>
        <v>0</v>
      </c>
      <c r="N16" s="59" t="s">
        <v>18</v>
      </c>
    </row>
    <row r="17" spans="1:14">
      <c r="J17" s="63" t="s">
        <v>73</v>
      </c>
      <c r="K17" s="172">
        <f t="shared" si="1"/>
        <v>0</v>
      </c>
      <c r="L17" s="72" t="s">
        <v>23</v>
      </c>
      <c r="M17" s="173">
        <f t="shared" si="0"/>
        <v>0</v>
      </c>
      <c r="N17" s="59" t="s">
        <v>18</v>
      </c>
    </row>
    <row r="18" spans="1:14" ht="15">
      <c r="A18" s="298" t="s">
        <v>102</v>
      </c>
      <c r="B18" s="306"/>
      <c r="C18" s="306"/>
      <c r="J18" s="64" t="s">
        <v>74</v>
      </c>
      <c r="K18" s="172">
        <f t="shared" si="1"/>
        <v>0</v>
      </c>
      <c r="L18" s="72" t="s">
        <v>23</v>
      </c>
      <c r="M18" s="173">
        <f t="shared" si="0"/>
        <v>0</v>
      </c>
      <c r="N18" s="59" t="s">
        <v>18</v>
      </c>
    </row>
    <row r="19" spans="1:14">
      <c r="A19" s="60" t="s">
        <v>17</v>
      </c>
      <c r="B19" s="76">
        <v>0</v>
      </c>
      <c r="C19" s="59" t="s">
        <v>18</v>
      </c>
      <c r="J19" s="63" t="s">
        <v>75</v>
      </c>
      <c r="K19" s="172">
        <f t="shared" si="1"/>
        <v>0</v>
      </c>
      <c r="L19" s="72" t="s">
        <v>23</v>
      </c>
      <c r="M19" s="173">
        <f t="shared" si="0"/>
        <v>0</v>
      </c>
      <c r="N19" s="59" t="s">
        <v>18</v>
      </c>
    </row>
    <row r="20" spans="1:14">
      <c r="A20" s="62" t="s">
        <v>6</v>
      </c>
      <c r="B20" s="76">
        <v>0</v>
      </c>
      <c r="C20" s="59" t="s">
        <v>18</v>
      </c>
      <c r="J20" s="64" t="s">
        <v>78</v>
      </c>
      <c r="K20" s="172">
        <f t="shared" si="1"/>
        <v>0</v>
      </c>
      <c r="L20" s="72" t="s">
        <v>23</v>
      </c>
      <c r="M20" s="173">
        <f t="shared" si="0"/>
        <v>0</v>
      </c>
      <c r="N20" s="59" t="s">
        <v>18</v>
      </c>
    </row>
    <row r="21" spans="1:14">
      <c r="A21" s="62" t="s">
        <v>13</v>
      </c>
      <c r="B21" s="76">
        <v>0</v>
      </c>
      <c r="C21" s="59" t="s">
        <v>18</v>
      </c>
      <c r="J21" s="65" t="s">
        <v>14</v>
      </c>
      <c r="K21" s="172">
        <f t="shared" si="1"/>
        <v>0</v>
      </c>
      <c r="L21" s="72" t="s">
        <v>23</v>
      </c>
      <c r="M21" s="173">
        <f t="shared" si="0"/>
        <v>0</v>
      </c>
      <c r="N21" s="59" t="s">
        <v>18</v>
      </c>
    </row>
    <row r="22" spans="1:14">
      <c r="A22" s="60" t="s">
        <v>69</v>
      </c>
      <c r="B22" s="76">
        <v>0</v>
      </c>
      <c r="C22" s="59" t="s">
        <v>18</v>
      </c>
      <c r="J22" s="65" t="s">
        <v>79</v>
      </c>
      <c r="K22" s="172">
        <f t="shared" si="1"/>
        <v>0</v>
      </c>
      <c r="L22" s="72" t="s">
        <v>23</v>
      </c>
      <c r="M22" s="173">
        <f t="shared" si="0"/>
        <v>0</v>
      </c>
      <c r="N22" s="59" t="s">
        <v>18</v>
      </c>
    </row>
    <row r="23" spans="1:14">
      <c r="A23" s="62" t="s">
        <v>9</v>
      </c>
      <c r="B23" s="76">
        <v>0</v>
      </c>
      <c r="C23" s="59" t="s">
        <v>18</v>
      </c>
      <c r="J23" s="65" t="s">
        <v>15</v>
      </c>
      <c r="K23" s="172">
        <f t="shared" si="1"/>
        <v>0</v>
      </c>
      <c r="L23" s="72" t="s">
        <v>23</v>
      </c>
      <c r="M23" s="173">
        <f t="shared" si="0"/>
        <v>0</v>
      </c>
      <c r="N23" s="59" t="s">
        <v>18</v>
      </c>
    </row>
    <row r="24" spans="1:14">
      <c r="A24" s="63" t="s">
        <v>7</v>
      </c>
      <c r="B24" s="76">
        <v>0</v>
      </c>
      <c r="C24" s="59" t="s">
        <v>18</v>
      </c>
      <c r="J24" s="65" t="s">
        <v>80</v>
      </c>
      <c r="K24" s="172">
        <f t="shared" si="1"/>
        <v>0</v>
      </c>
      <c r="L24" s="72" t="s">
        <v>23</v>
      </c>
      <c r="M24" s="173">
        <f t="shared" si="0"/>
        <v>0</v>
      </c>
      <c r="N24" s="59" t="s">
        <v>18</v>
      </c>
    </row>
    <row r="25" spans="1:14">
      <c r="A25" s="62" t="s">
        <v>8</v>
      </c>
      <c r="B25" s="76">
        <v>0</v>
      </c>
      <c r="C25" s="59" t="s">
        <v>18</v>
      </c>
      <c r="J25" s="65" t="s">
        <v>59</v>
      </c>
      <c r="K25" s="172" t="e">
        <f>R68*K101</f>
        <v>#DIV/0!</v>
      </c>
      <c r="L25" s="72" t="s">
        <v>23</v>
      </c>
      <c r="M25" s="173" t="e">
        <f>(($B$4*B41)-K25)/$B$4</f>
        <v>#DIV/0!</v>
      </c>
      <c r="N25" s="59" t="s">
        <v>18</v>
      </c>
    </row>
    <row r="26" spans="1:14">
      <c r="A26" s="62" t="s">
        <v>11</v>
      </c>
      <c r="B26" s="76">
        <v>0</v>
      </c>
      <c r="C26" s="59" t="s">
        <v>18</v>
      </c>
      <c r="J26" s="81" t="s">
        <v>60</v>
      </c>
      <c r="K26" s="172" t="e">
        <f>R69*K102</f>
        <v>#DIV/0!</v>
      </c>
      <c r="L26" s="72" t="s">
        <v>23</v>
      </c>
      <c r="M26" s="173" t="e">
        <f>(($B$4*B42)-K26)/$B$4</f>
        <v>#DIV/0!</v>
      </c>
      <c r="N26" s="59" t="s">
        <v>18</v>
      </c>
    </row>
    <row r="27" spans="1:14">
      <c r="A27" s="63" t="s">
        <v>70</v>
      </c>
      <c r="B27" s="76">
        <v>0</v>
      </c>
      <c r="C27" s="59" t="s">
        <v>18</v>
      </c>
      <c r="J27" s="65" t="s">
        <v>61</v>
      </c>
      <c r="K27" s="172" t="e">
        <f>R70*K103</f>
        <v>#DIV/0!</v>
      </c>
      <c r="L27" s="72" t="s">
        <v>23</v>
      </c>
      <c r="M27" s="173" t="e">
        <f>(($B$4*B43)-K27)/$B$4</f>
        <v>#DIV/0!</v>
      </c>
      <c r="N27" s="59" t="s">
        <v>18</v>
      </c>
    </row>
    <row r="28" spans="1:14">
      <c r="A28" s="63" t="s">
        <v>16</v>
      </c>
      <c r="B28" s="76">
        <v>0</v>
      </c>
      <c r="C28" s="59" t="s">
        <v>18</v>
      </c>
      <c r="J28" s="65" t="s">
        <v>256</v>
      </c>
      <c r="K28" s="172">
        <f>R71*K104</f>
        <v>0</v>
      </c>
      <c r="L28" s="72" t="s">
        <v>23</v>
      </c>
      <c r="M28" s="173">
        <f>(($B$4*B44)-K28)/$B$4</f>
        <v>0</v>
      </c>
      <c r="N28" s="59" t="s">
        <v>18</v>
      </c>
    </row>
    <row r="29" spans="1:14">
      <c r="A29" s="60" t="s">
        <v>71</v>
      </c>
      <c r="B29" s="76">
        <v>0</v>
      </c>
      <c r="C29" s="59" t="s">
        <v>18</v>
      </c>
    </row>
    <row r="30" spans="1:14">
      <c r="A30" s="62" t="s">
        <v>12</v>
      </c>
      <c r="B30" s="76">
        <v>0</v>
      </c>
      <c r="C30" s="59" t="s">
        <v>18</v>
      </c>
      <c r="J30" s="212"/>
      <c r="K30" s="213"/>
      <c r="L30" s="89"/>
      <c r="M30" s="224"/>
      <c r="N30" s="185"/>
    </row>
    <row r="31" spans="1:14">
      <c r="A31" s="62" t="s">
        <v>10</v>
      </c>
      <c r="B31" s="76">
        <v>0</v>
      </c>
      <c r="C31" s="59" t="s">
        <v>18</v>
      </c>
    </row>
    <row r="32" spans="1:14">
      <c r="A32" s="63" t="s">
        <v>72</v>
      </c>
      <c r="B32" s="76">
        <v>0</v>
      </c>
      <c r="C32" s="59" t="s">
        <v>18</v>
      </c>
    </row>
    <row r="33" spans="1:19">
      <c r="A33" s="63" t="s">
        <v>73</v>
      </c>
      <c r="B33" s="76">
        <v>0</v>
      </c>
      <c r="C33" s="59" t="s">
        <v>18</v>
      </c>
    </row>
    <row r="34" spans="1:19">
      <c r="A34" s="64" t="s">
        <v>74</v>
      </c>
      <c r="B34" s="76">
        <v>0</v>
      </c>
      <c r="C34" s="59" t="s">
        <v>18</v>
      </c>
    </row>
    <row r="35" spans="1:19">
      <c r="A35" s="63" t="s">
        <v>75</v>
      </c>
      <c r="B35" s="76">
        <v>0</v>
      </c>
      <c r="C35" s="59" t="s">
        <v>18</v>
      </c>
    </row>
    <row r="36" spans="1:19" ht="14.25" customHeight="1">
      <c r="A36" s="64" t="s">
        <v>78</v>
      </c>
      <c r="B36" s="76">
        <v>0</v>
      </c>
      <c r="C36" s="59" t="s">
        <v>18</v>
      </c>
    </row>
    <row r="37" spans="1:19" ht="14.25" customHeight="1">
      <c r="A37" s="65" t="s">
        <v>14</v>
      </c>
      <c r="B37" s="76">
        <v>0</v>
      </c>
      <c r="C37" s="59" t="s">
        <v>18</v>
      </c>
    </row>
    <row r="38" spans="1:19" ht="14.25" customHeight="1">
      <c r="A38" s="65" t="s">
        <v>79</v>
      </c>
      <c r="B38" s="76">
        <v>0</v>
      </c>
      <c r="C38" s="59" t="s">
        <v>18</v>
      </c>
    </row>
    <row r="39" spans="1:19" ht="14.25" customHeight="1">
      <c r="A39" s="65" t="s">
        <v>15</v>
      </c>
      <c r="B39" s="76">
        <v>0</v>
      </c>
      <c r="C39" s="59" t="s">
        <v>18</v>
      </c>
      <c r="K39" s="158" t="s">
        <v>184</v>
      </c>
      <c r="L39" s="155">
        <f>B4*60*60/B5</f>
        <v>1200</v>
      </c>
    </row>
    <row r="40" spans="1:19" ht="14.25" customHeight="1">
      <c r="A40" s="65" t="s">
        <v>80</v>
      </c>
      <c r="B40" s="76">
        <v>0</v>
      </c>
      <c r="C40" s="59" t="s">
        <v>18</v>
      </c>
      <c r="J40" s="170"/>
      <c r="K40" s="159" t="s">
        <v>183</v>
      </c>
      <c r="L40" s="168">
        <f>IF(AND(OR($B$3=1.2, $B$3&lt;1.2),OR($L$39=235,$L$39&lt;235)), 0.0785*$B$3^1.31*$L$39^0.428*$B$6^0.31, IF(AND(OR($B$3=1.2, $B$3&lt;1.2),$L$39&gt;235),5.39*$B$3^1.31*$L$39^-0.363*$B$6^0.31, IF(AND($B$3&gt;1.2,OR($L$39=235,$L$39&lt;235)), 0.0861*$B$3^0.816*$L$39^0.428*$B$6^0.31, IF(AND($B$3&gt;1.2,$L$39&gt;235),5.92*$B$3^0.816*$L$39^-0.363*$B$6^0.31))))</f>
        <v>0.3118133085837802</v>
      </c>
      <c r="M40" s="57" t="s">
        <v>251</v>
      </c>
    </row>
    <row r="41" spans="1:19" ht="14.25" customHeight="1">
      <c r="A41" s="65" t="s">
        <v>59</v>
      </c>
      <c r="B41" s="76">
        <v>0</v>
      </c>
      <c r="C41" s="59" t="s">
        <v>18</v>
      </c>
      <c r="J41" s="170"/>
      <c r="K41" s="156" t="s">
        <v>253</v>
      </c>
      <c r="L41" s="169">
        <f>0.042*B3^0.872*L39^0.509</f>
        <v>2.2393162717471942</v>
      </c>
      <c r="M41" s="57" t="s">
        <v>252</v>
      </c>
    </row>
    <row r="42" spans="1:19" ht="14.25" customHeight="1">
      <c r="A42" s="81" t="s">
        <v>60</v>
      </c>
      <c r="B42" s="76">
        <v>0</v>
      </c>
      <c r="C42" s="82" t="s">
        <v>18</v>
      </c>
    </row>
    <row r="43" spans="1:19" ht="14.25" customHeight="1">
      <c r="A43" s="65" t="s">
        <v>61</v>
      </c>
      <c r="B43" s="76">
        <v>0</v>
      </c>
      <c r="C43" s="59" t="s">
        <v>18</v>
      </c>
    </row>
    <row r="44" spans="1:19" ht="14.25" customHeight="1">
      <c r="A44" s="65" t="s">
        <v>256</v>
      </c>
      <c r="B44" s="76">
        <v>0</v>
      </c>
      <c r="C44" s="59" t="s">
        <v>18</v>
      </c>
    </row>
    <row r="45" spans="1:19">
      <c r="J45" s="83" t="s">
        <v>21</v>
      </c>
      <c r="K45" s="156" t="s">
        <v>35</v>
      </c>
      <c r="L45" s="156" t="s">
        <v>186</v>
      </c>
      <c r="M45" s="156" t="s">
        <v>187</v>
      </c>
      <c r="N45" s="157" t="s">
        <v>185</v>
      </c>
      <c r="O45" s="159" t="s">
        <v>188</v>
      </c>
      <c r="P45" s="159" t="s">
        <v>189</v>
      </c>
      <c r="Q45" s="159" t="s">
        <v>190</v>
      </c>
      <c r="R45" s="159" t="s">
        <v>191</v>
      </c>
      <c r="S45" s="159" t="s">
        <v>192</v>
      </c>
    </row>
    <row r="46" spans="1:19" ht="12.75">
      <c r="A46" s="212"/>
      <c r="B46" s="215"/>
      <c r="C46" s="185"/>
      <c r="J46" s="60" t="s">
        <v>17</v>
      </c>
      <c r="K46" s="105">
        <f>IF(ABS('Chemical Properties'!E41)&gt;0,'Chemical Properties'!E41,'Chemical Properties'!E4)/($F$4*($B$7+273.15))</f>
        <v>1.8588032616073582E-4</v>
      </c>
      <c r="L46" s="160">
        <f>$L$39/$B$3*(IF(ABS('Chemical Properties'!F41)&gt;0,'Chemical Properties'!F41,'Chemical Properties'!F4)/$F$3)^0.66*$L$40/3600</f>
        <v>5.3045182257916587E-2</v>
      </c>
      <c r="M46" s="163">
        <f>0.05*(IF(ABS('Chemical Properties'!G41)&gt;0,'Chemical Properties'!G41,'Chemical Properties'!G4)/0.088)^0.66</f>
        <v>7.109379076450921E-2</v>
      </c>
      <c r="N46" s="155">
        <f t="shared" ref="N46:N67" si="3">(1/L46+1/(K46*M46))^-1</f>
        <v>1.3211645650143563E-5</v>
      </c>
      <c r="O46" s="155">
        <f>1-EXP(-N46*$B$3/$L$39*3600)</f>
        <v>6.0401819649058552E-5</v>
      </c>
      <c r="P46" s="160">
        <f>$L$39/$B$3*(IF(ABS('Chemical Properties'!F41)&gt;0,'Chemical Properties'!F41,'Chemical Properties'!F4)/$F$3)^0.66*$L$41/3600</f>
        <v>0.38094890916444701</v>
      </c>
      <c r="Q46" s="155">
        <f>(1/P46+1/(K46*M46))^-1</f>
        <v>1.3214478611313275E-5</v>
      </c>
      <c r="R46" s="155">
        <f>1-EXP(-Q46*$B$3/$L$39*3600)</f>
        <v>6.041477116514038E-5</v>
      </c>
      <c r="S46" s="155">
        <f>R46*K79</f>
        <v>0</v>
      </c>
    </row>
    <row r="47" spans="1:19" ht="12.75">
      <c r="J47" s="62" t="s">
        <v>6</v>
      </c>
      <c r="K47" s="105">
        <f>IF(ABS('Chemical Properties'!E42)&gt;0,'Chemical Properties'!E42,'Chemical Properties'!E5)/($F$4*($B$7+273.15))</f>
        <v>0.22792954908029947</v>
      </c>
      <c r="L47" s="160">
        <f>$L$39/$B$3*(IF(ABS('Chemical Properties'!F42)&gt;0,'Chemical Properties'!F42,'Chemical Properties'!F5)/$F$3)^0.66*$L$40/3600</f>
        <v>3.7762280701053662E-2</v>
      </c>
      <c r="M47" s="163">
        <f>0.05*(IF(ABS('Chemical Properties'!G42)&gt;0,'Chemical Properties'!G42,'Chemical Properties'!G5)/0.088)^0.66</f>
        <v>0.05</v>
      </c>
      <c r="N47" s="155">
        <f t="shared" si="3"/>
        <v>8.7544314944695105E-3</v>
      </c>
      <c r="O47" s="155">
        <f t="shared" ref="O47:O67" si="4">1-EXP(-N47*$B$3/$L$39*3600)</f>
        <v>3.923483084400059E-2</v>
      </c>
      <c r="P47" s="160">
        <f>$L$39/$B$3*(IF(ABS('Chemical Properties'!F42)&gt;0,'Chemical Properties'!F42,'Chemical Properties'!F5)/$F$3)^0.66*$L$41/3600</f>
        <v>0.27119333044578459</v>
      </c>
      <c r="Q47" s="155">
        <f t="shared" ref="Q47:Q67" si="5">(1/P47+1/(K47*M47))^-1</f>
        <v>1.0936872419689304E-2</v>
      </c>
      <c r="R47" s="155">
        <f t="shared" ref="R47:R67" si="6">1-EXP(-Q47*$B$3/$L$39*3600)</f>
        <v>4.8773791317847537E-2</v>
      </c>
      <c r="S47" s="155">
        <f t="shared" ref="S47:S67" si="7">R47*K80</f>
        <v>0</v>
      </c>
    </row>
    <row r="48" spans="1:19" ht="12.75">
      <c r="J48" s="62" t="s">
        <v>13</v>
      </c>
      <c r="K48" s="105">
        <f>IF(ABS('Chemical Properties'!E43)&gt;0,'Chemical Properties'!E43,'Chemical Properties'!E6)/($F$4*($B$7+273.15))</f>
        <v>1.234720891796967</v>
      </c>
      <c r="L48" s="160">
        <f>$L$39/$B$3*(IF(ABS('Chemical Properties'!F43)&gt;0,'Chemical Properties'!F43,'Chemical Properties'!F6)/$F$3)^0.66*$L$40/3600</f>
        <v>3.8269166747452933E-2</v>
      </c>
      <c r="M48" s="163">
        <f>0.05*(IF(ABS('Chemical Properties'!G43)&gt;0,'Chemical Properties'!G43,'Chemical Properties'!G6)/0.088)^0.66</f>
        <v>5.582817673271484E-2</v>
      </c>
      <c r="N48" s="155">
        <f t="shared" si="3"/>
        <v>2.4607690712482269E-2</v>
      </c>
      <c r="O48" s="155">
        <f t="shared" si="4"/>
        <v>0.10640833788384518</v>
      </c>
      <c r="P48" s="160">
        <f>$L$39/$B$3*(IF(ABS('Chemical Properties'!F43)&gt;0,'Chemical Properties'!F43,'Chemical Properties'!F6)/$F$3)^0.66*$L$41/3600</f>
        <v>0.27483357972436373</v>
      </c>
      <c r="Q48" s="155">
        <f t="shared" si="5"/>
        <v>5.5109868267923766E-2</v>
      </c>
      <c r="R48" s="155">
        <f t="shared" si="6"/>
        <v>0.22272597302610897</v>
      </c>
      <c r="S48" s="155">
        <f t="shared" si="7"/>
        <v>0</v>
      </c>
    </row>
    <row r="49" spans="10:19" ht="12.75">
      <c r="J49" s="60" t="s">
        <v>69</v>
      </c>
      <c r="K49" s="105">
        <f>IF(ABS('Chemical Properties'!E44)&gt;0,'Chemical Properties'!E44,'Chemical Properties'!E7)/($F$4*($B$7+273.15))</f>
        <v>2.2836725785461832E-3</v>
      </c>
      <c r="L49" s="160">
        <f>$L$39/$B$3*(IF(ABS('Chemical Properties'!F44)&gt;0,'Chemical Properties'!F44,'Chemical Properties'!F7)/$F$3)^0.66*$L$40/3600</f>
        <v>3.7762280701053662E-2</v>
      </c>
      <c r="M49" s="163">
        <f>0.05*(IF(ABS('Chemical Properties'!G44)&gt;0,'Chemical Properties'!G44,'Chemical Properties'!G7)/0.088)^0.66</f>
        <v>4.7261003499323995E-2</v>
      </c>
      <c r="N49" s="155">
        <f t="shared" si="3"/>
        <v>1.0762106515240531E-4</v>
      </c>
      <c r="O49" s="155">
        <f t="shared" si="4"/>
        <v>4.9192247632101616E-4</v>
      </c>
      <c r="P49" s="160">
        <f>$L$39/$B$3*(IF(ABS('Chemical Properties'!F44)&gt;0,'Chemical Properties'!F44,'Chemical Properties'!F7)/$F$3)^0.66*$L$41/3600</f>
        <v>0.27119333044578459</v>
      </c>
      <c r="Q49" s="155">
        <f t="shared" si="5"/>
        <v>1.0788572171014048E-4</v>
      </c>
      <c r="R49" s="155">
        <f t="shared" si="6"/>
        <v>4.9313189014033032E-4</v>
      </c>
      <c r="S49" s="155">
        <f t="shared" si="7"/>
        <v>0</v>
      </c>
    </row>
    <row r="50" spans="10:19" ht="12.75">
      <c r="J50" s="62" t="s">
        <v>9</v>
      </c>
      <c r="K50" s="105">
        <f>IF(ABS('Chemical Properties'!E45)&gt;0,'Chemical Properties'!E45,'Chemical Properties'!E8)/($F$4*($B$7+273.15))</f>
        <v>1.9731911546293494E-2</v>
      </c>
      <c r="L50" s="160">
        <f>$L$39/$B$3*(IF(ABS('Chemical Properties'!F45)&gt;0,'Chemical Properties'!F45,'Chemical Properties'!F8)/$F$3)^0.66*$L$40/3600</f>
        <v>3.1651146060807545E-2</v>
      </c>
      <c r="M50" s="163">
        <f>0.05*(IF(ABS('Chemical Properties'!G45)&gt;0,'Chemical Properties'!G45,'Chemical Properties'!G8)/0.088)^0.66</f>
        <v>3.8403761896511387E-2</v>
      </c>
      <c r="N50" s="155">
        <f t="shared" si="3"/>
        <v>7.4006136661244339E-4</v>
      </c>
      <c r="O50" s="155">
        <f t="shared" si="4"/>
        <v>3.3778427777408915E-3</v>
      </c>
      <c r="P50" s="160">
        <f>$L$39/$B$3*(IF(ABS('Chemical Properties'!F45)&gt;0,'Chemical Properties'!F45,'Chemical Properties'!F8)/$F$3)^0.66*$L$41/3600</f>
        <v>0.22730564874003678</v>
      </c>
      <c r="Q50" s="155">
        <f t="shared" si="5"/>
        <v>7.5526178073158216E-4</v>
      </c>
      <c r="R50" s="155">
        <f t="shared" si="6"/>
        <v>3.4471019168864636E-3</v>
      </c>
      <c r="S50" s="155">
        <f t="shared" si="7"/>
        <v>0</v>
      </c>
    </row>
    <row r="51" spans="10:19" ht="12.75">
      <c r="J51" s="63" t="s">
        <v>7</v>
      </c>
      <c r="K51" s="105">
        <f>IF(ABS('Chemical Properties'!E46)&gt;0,'Chemical Properties'!E46,'Chemical Properties'!E9)/($F$4*($B$7+273.15))</f>
        <v>0.59645115647181168</v>
      </c>
      <c r="L51" s="160">
        <f>$L$39/$B$3*(IF(ABS('Chemical Properties'!F46)&gt;0,'Chemical Properties'!F46,'Chemical Properties'!F9)/$F$3)^0.66*$L$40/3600</f>
        <v>3.052667593881098E-2</v>
      </c>
      <c r="M51" s="163">
        <f>0.05*(IF(ABS('Chemical Properties'!G46)&gt;0,'Chemical Properties'!G46,'Chemical Properties'!G9)/0.088)^0.66</f>
        <v>4.9247072459264594E-2</v>
      </c>
      <c r="N51" s="155">
        <f t="shared" si="3"/>
        <v>1.4969486927003004E-2</v>
      </c>
      <c r="O51" s="155">
        <f t="shared" si="4"/>
        <v>6.6150972144568887E-2</v>
      </c>
      <c r="P51" s="160">
        <f>$L$39/$B$3*(IF(ABS('Chemical Properties'!F46)&gt;0,'Chemical Properties'!F46,'Chemical Properties'!F9)/$F$3)^0.66*$L$41/3600</f>
        <v>0.21923016199215831</v>
      </c>
      <c r="Q51" s="155">
        <f t="shared" si="5"/>
        <v>2.5902884752100119E-2</v>
      </c>
      <c r="R51" s="155">
        <f t="shared" si="6"/>
        <v>0.11168421821552044</v>
      </c>
      <c r="S51" s="155">
        <f t="shared" si="7"/>
        <v>0</v>
      </c>
    </row>
    <row r="52" spans="10:19" ht="12.75">
      <c r="J52" s="62" t="s">
        <v>8</v>
      </c>
      <c r="K52" s="105">
        <f>IF(ABS('Chemical Properties'!E47)&gt;0,'Chemical Properties'!E47,'Chemical Properties'!E10)/($F$4*($B$7+273.15))</f>
        <v>0.32192021321903264</v>
      </c>
      <c r="L52" s="160">
        <f>$L$39/$B$3*(IF(ABS('Chemical Properties'!F47)&gt;0,'Chemical Properties'!F47,'Chemical Properties'!F10)/$F$3)^0.66*$L$40/3600</f>
        <v>3.2481153507873346E-2</v>
      </c>
      <c r="M52" s="163">
        <f>0.05*(IF(ABS('Chemical Properties'!G47)&gt;0,'Chemical Properties'!G47,'Chemical Properties'!G10)/0.088)^0.66</f>
        <v>4.4993717225260466E-2</v>
      </c>
      <c r="N52" s="155">
        <f t="shared" si="3"/>
        <v>1.0017335976239156E-2</v>
      </c>
      <c r="O52" s="155">
        <f t="shared" si="4"/>
        <v>4.4766303521694084E-2</v>
      </c>
      <c r="P52" s="160">
        <f>$L$39/$B$3*(IF(ABS('Chemical Properties'!F47)&gt;0,'Chemical Properties'!F47,'Chemical Properties'!F10)/$F$3)^0.66*$L$41/3600</f>
        <v>0.23326642440521789</v>
      </c>
      <c r="Q52" s="155">
        <f t="shared" si="5"/>
        <v>1.3637578643637165E-2</v>
      </c>
      <c r="R52" s="155">
        <f t="shared" si="6"/>
        <v>6.0446963192606562E-2</v>
      </c>
      <c r="S52" s="155">
        <f t="shared" si="7"/>
        <v>0</v>
      </c>
    </row>
    <row r="53" spans="10:19" ht="12.75">
      <c r="J53" s="62" t="s">
        <v>11</v>
      </c>
      <c r="K53" s="105">
        <f>IF(ABS('Chemical Properties'!E48)&gt;0,'Chemical Properties'!E48,'Chemical Properties'!E11)/($F$4*($B$7+273.15))</f>
        <v>0.11234525207517</v>
      </c>
      <c r="L53" s="160">
        <f>$L$39/$B$3*(IF(ABS('Chemical Properties'!F48)&gt;0,'Chemical Properties'!F48,'Chemical Properties'!F11)/$F$3)^0.66*$L$40/3600</f>
        <v>3.30284655587781E-2</v>
      </c>
      <c r="M53" s="163">
        <f>0.05*(IF(ABS('Chemical Properties'!G48)&gt;0,'Chemical Properties'!G48,'Chemical Properties'!G11)/0.088)^0.66</f>
        <v>4.3395225638252294E-2</v>
      </c>
      <c r="N53" s="155">
        <f t="shared" si="3"/>
        <v>4.2481839632214106E-3</v>
      </c>
      <c r="O53" s="155">
        <f t="shared" si="4"/>
        <v>1.9235291765728246E-2</v>
      </c>
      <c r="P53" s="160">
        <f>$L$39/$B$3*(IF(ABS('Chemical Properties'!F48)&gt;0,'Chemical Properties'!F48,'Chemical Properties'!F11)/$F$3)^0.66*$L$41/3600</f>
        <v>0.23719699679444939</v>
      </c>
      <c r="Q53" s="155">
        <f t="shared" si="5"/>
        <v>4.7770618382389713E-3</v>
      </c>
      <c r="R53" s="155">
        <f t="shared" si="6"/>
        <v>2.1603945013611292E-2</v>
      </c>
      <c r="S53" s="155">
        <f t="shared" si="7"/>
        <v>0</v>
      </c>
    </row>
    <row r="54" spans="10:19" ht="12.75">
      <c r="J54" s="63" t="s">
        <v>70</v>
      </c>
      <c r="K54" s="105">
        <f>IF(ABS('Chemical Properties'!E49)&gt;0,'Chemical Properties'!E49,'Chemical Properties'!E12)/($F$4*($B$7+273.15))</f>
        <v>3.0067674737209136</v>
      </c>
      <c r="L54" s="160">
        <f>$L$39/$B$3*(IF(ABS('Chemical Properties'!F49)&gt;0,'Chemical Properties'!F49,'Chemical Properties'!F12)/$F$3)^0.66*$L$40/3600</f>
        <v>4.0263236758043316E-2</v>
      </c>
      <c r="M54" s="163">
        <f>0.05*(IF(ABS('Chemical Properties'!G49)&gt;0,'Chemical Properties'!G49,'Chemical Properties'!G12)/0.088)^0.66</f>
        <v>9.9335163239247862E-2</v>
      </c>
      <c r="N54" s="155">
        <f t="shared" si="3"/>
        <v>3.548031478695151E-2</v>
      </c>
      <c r="O54" s="155">
        <f t="shared" si="4"/>
        <v>0.14974247024713006</v>
      </c>
      <c r="P54" s="160">
        <f>$L$39/$B$3*(IF(ABS('Chemical Properties'!F49)&gt;0,'Chemical Properties'!F49,'Chemical Properties'!F12)/$F$3)^0.66*$L$41/3600</f>
        <v>0.28915417893803835</v>
      </c>
      <c r="Q54" s="155">
        <f t="shared" si="5"/>
        <v>0.14691940601552206</v>
      </c>
      <c r="R54" s="155">
        <f t="shared" si="6"/>
        <v>0.48916851815987139</v>
      </c>
      <c r="S54" s="155">
        <f t="shared" si="7"/>
        <v>0</v>
      </c>
    </row>
    <row r="55" spans="10:19" ht="12.75">
      <c r="J55" s="63" t="s">
        <v>16</v>
      </c>
      <c r="K55" s="105">
        <f>IF(ABS('Chemical Properties'!E50)&gt;0,'Chemical Properties'!E50,'Chemical Properties'!E13)/($F$4*($B$7+273.15))</f>
        <v>7.3535809436306684E-8</v>
      </c>
      <c r="L55" s="160">
        <f>$L$39/$B$3*(IF(ABS('Chemical Properties'!F50)&gt;0,'Chemical Properties'!F50,'Chemical Properties'!F13)/$F$3)^0.66*$L$40/3600</f>
        <v>4.8010211655405019E-2</v>
      </c>
      <c r="M55" s="163">
        <f>0.05*(IF(ABS('Chemical Properties'!G50)&gt;0,'Chemical Properties'!G50,'Chemical Properties'!G13)/0.088)^0.66</f>
        <v>7.1910634227894663E-2</v>
      </c>
      <c r="N55" s="155">
        <f t="shared" si="3"/>
        <v>5.2880061125875807E-9</v>
      </c>
      <c r="O55" s="155">
        <f t="shared" si="4"/>
        <v>2.4176763702143944E-8</v>
      </c>
      <c r="P55" s="160">
        <f>$L$39/$B$3*(IF(ABS('Chemical Properties'!F50)&gt;0,'Chemical Properties'!F50,'Chemical Properties'!F13)/$F$3)^0.66*$L$41/3600</f>
        <v>0.3447897995703692</v>
      </c>
      <c r="Q55" s="155">
        <f t="shared" si="5"/>
        <v>5.2880066139247861E-9</v>
      </c>
      <c r="R55" s="155">
        <f t="shared" si="6"/>
        <v>2.4176765922589993E-8</v>
      </c>
      <c r="S55" s="155">
        <f t="shared" si="7"/>
        <v>0</v>
      </c>
    </row>
    <row r="56" spans="10:19" ht="12.75">
      <c r="J56" s="60" t="s">
        <v>71</v>
      </c>
      <c r="K56" s="105">
        <f>IF(ABS('Chemical Properties'!E51)&gt;0,'Chemical Properties'!E51,'Chemical Properties'!E14)/($F$4*($B$7+273.15))</f>
        <v>5.6390017353864438E-3</v>
      </c>
      <c r="L56" s="160">
        <f>$L$39/$B$3*(IF(ABS('Chemical Properties'!F51)&gt;0,'Chemical Properties'!F51,'Chemical Properties'!F14)/$F$3)^0.66*$L$40/3600</f>
        <v>3.2481153507873346E-2</v>
      </c>
      <c r="M56" s="163">
        <f>0.05*(IF(ABS('Chemical Properties'!G51)&gt;0,'Chemical Properties'!G51,'Chemical Properties'!G14)/0.088)^0.66</f>
        <v>4.4993717225260466E-2</v>
      </c>
      <c r="N56" s="155">
        <f t="shared" si="3"/>
        <v>2.5175313324810668E-4</v>
      </c>
      <c r="O56" s="155">
        <f t="shared" si="4"/>
        <v>1.1503531611489759E-3</v>
      </c>
      <c r="P56" s="160">
        <f>$L$39/$B$3*(IF(ABS('Chemical Properties'!F51)&gt;0,'Chemical Properties'!F51,'Chemical Properties'!F14)/$F$3)^0.66*$L$41/3600</f>
        <v>0.23326642440521789</v>
      </c>
      <c r="Q56" s="155">
        <f t="shared" si="5"/>
        <v>2.5344398310140926E-4</v>
      </c>
      <c r="R56" s="155">
        <f t="shared" si="6"/>
        <v>1.1580748039513589E-3</v>
      </c>
      <c r="S56" s="155">
        <f t="shared" si="7"/>
        <v>0</v>
      </c>
    </row>
    <row r="57" spans="10:19" ht="12.75">
      <c r="J57" s="62" t="s">
        <v>12</v>
      </c>
      <c r="K57" s="105">
        <f>IF(ABS('Chemical Properties'!E52)&gt;0,'Chemical Properties'!E52,'Chemical Properties'!E15)/($F$4*($B$7+273.15))</f>
        <v>0.27126271773786503</v>
      </c>
      <c r="L57" s="160">
        <f>$L$39/$B$3*(IF(ABS('Chemical Properties'!F52)&gt;0,'Chemical Properties'!F52,'Chemical Properties'!F15)/$F$3)^0.66*$L$40/3600</f>
        <v>3.4643198641970678E-2</v>
      </c>
      <c r="M57" s="163">
        <f>0.05*(IF(ABS('Chemical Properties'!G52)&gt;0,'Chemical Properties'!G52,'Chemical Properties'!G15)/0.088)^0.66</f>
        <v>4.9624271866510479E-2</v>
      </c>
      <c r="N57" s="155">
        <f t="shared" si="3"/>
        <v>9.6943192155398775E-3</v>
      </c>
      <c r="O57" s="155">
        <f t="shared" si="4"/>
        <v>4.3354541017664672E-2</v>
      </c>
      <c r="P57" s="160">
        <f>$L$39/$B$3*(IF(ABS('Chemical Properties'!F52)&gt;0,'Chemical Properties'!F52,'Chemical Properties'!F15)/$F$3)^0.66*$L$41/3600</f>
        <v>0.24879335258870541</v>
      </c>
      <c r="Q57" s="155">
        <f t="shared" si="5"/>
        <v>1.2770266713343068E-2</v>
      </c>
      <c r="R57" s="155">
        <f t="shared" si="6"/>
        <v>5.6713909881379365E-2</v>
      </c>
      <c r="S57" s="155">
        <f t="shared" si="7"/>
        <v>0</v>
      </c>
    </row>
    <row r="58" spans="10:19" ht="12.75">
      <c r="J58" s="62" t="s">
        <v>10</v>
      </c>
      <c r="K58" s="105">
        <f>IF(ABS('Chemical Properties'!E53)&gt;0,'Chemical Properties'!E53,'Chemical Properties'!E16)/($F$4*($B$7+273.15))</f>
        <v>1.621856911776091E-5</v>
      </c>
      <c r="L58" s="160">
        <f>$L$39/$B$3*(IF(ABS('Chemical Properties'!F53)&gt;0,'Chemical Properties'!F53,'Chemical Properties'!F16)/$F$3)^0.66*$L$40/3600</f>
        <v>3.5959721963763042E-2</v>
      </c>
      <c r="M58" s="163">
        <f>0.05*(IF(ABS('Chemical Properties'!G53)&gt;0,'Chemical Properties'!G53,'Chemical Properties'!G16)/0.088)^0.66</f>
        <v>4.7723093016546266E-2</v>
      </c>
      <c r="N58" s="155">
        <f t="shared" si="3"/>
        <v>7.7398362330922252E-7</v>
      </c>
      <c r="O58" s="155">
        <f t="shared" si="4"/>
        <v>3.5386468647535807E-6</v>
      </c>
      <c r="P58" s="160">
        <f>$L$39/$B$3*(IF(ABS('Chemical Properties'!F53)&gt;0,'Chemical Properties'!F53,'Chemical Properties'!F16)/$F$3)^0.66*$L$41/3600</f>
        <v>0.25824808725033455</v>
      </c>
      <c r="Q58" s="155">
        <f t="shared" si="5"/>
        <v>7.7399796283808747E-7</v>
      </c>
      <c r="R58" s="155">
        <f t="shared" si="6"/>
        <v>3.5387124248664747E-6</v>
      </c>
      <c r="S58" s="155">
        <f t="shared" si="7"/>
        <v>0</v>
      </c>
    </row>
    <row r="59" spans="10:19" ht="12.75">
      <c r="J59" s="63" t="s">
        <v>72</v>
      </c>
      <c r="K59" s="105">
        <f>IF(ABS('Chemical Properties'!E54)&gt;0,'Chemical Properties'!E54,'Chemical Properties'!E17)/($F$4*($B$7+273.15))</f>
        <v>4.9840439102439058</v>
      </c>
      <c r="L59" s="160">
        <f>$L$39/$B$3*(IF(ABS('Chemical Properties'!F54)&gt;0,'Chemical Properties'!F54,'Chemical Properties'!F17)/$F$3)^0.66*$L$40/3600</f>
        <v>3.2398647345116473E-2</v>
      </c>
      <c r="M59" s="163">
        <f>0.05*(IF(ABS('Chemical Properties'!G54)&gt;0,'Chemical Properties'!G54,'Chemical Properties'!G17)/0.088)^0.66</f>
        <v>8.5958976911881105E-2</v>
      </c>
      <c r="N59" s="155">
        <f t="shared" si="3"/>
        <v>3.0120821124506109E-2</v>
      </c>
      <c r="O59" s="155">
        <f t="shared" si="4"/>
        <v>0.12865073917090708</v>
      </c>
      <c r="P59" s="160">
        <f>$L$39/$B$3*(IF(ABS('Chemical Properties'!F54)&gt;0,'Chemical Properties'!F54,'Chemical Properties'!F17)/$F$3)^0.66*$L$41/3600</f>
        <v>0.23267389872496377</v>
      </c>
      <c r="Q59" s="155">
        <f t="shared" si="5"/>
        <v>0.15078406166243932</v>
      </c>
      <c r="R59" s="155">
        <f t="shared" si="6"/>
        <v>0.49811523122903389</v>
      </c>
      <c r="S59" s="155">
        <f t="shared" si="7"/>
        <v>0</v>
      </c>
    </row>
    <row r="60" spans="10:19" ht="12.75">
      <c r="J60" s="63" t="s">
        <v>73</v>
      </c>
      <c r="K60" s="105">
        <f>IF(ABS('Chemical Properties'!E55)&gt;0,'Chemical Properties'!E55,'Chemical Properties'!E18)/($F$4*($B$7+273.15))</f>
        <v>6.618156667700924E-5</v>
      </c>
      <c r="L60" s="160">
        <f>$L$39/$B$3*(IF(ABS('Chemical Properties'!F55)&gt;0,'Chemical Properties'!F55,'Chemical Properties'!F18)/$F$3)^0.66*$L$40/3600</f>
        <v>3.6479405516830841E-2</v>
      </c>
      <c r="M60" s="163">
        <f>0.05*(IF(ABS('Chemical Properties'!G55)&gt;0,'Chemical Properties'!G55,'Chemical Properties'!G18)/0.088)^0.66</f>
        <v>4.2747300211063176E-2</v>
      </c>
      <c r="N60" s="155">
        <f t="shared" si="3"/>
        <v>2.828863912610641E-6</v>
      </c>
      <c r="O60" s="155">
        <f t="shared" si="4"/>
        <v>1.2933482170240929E-5</v>
      </c>
      <c r="P60" s="160">
        <f>$L$39/$B$3*(IF(ABS('Chemical Properties'!F55)&gt;0,'Chemical Properties'!F55,'Chemical Properties'!F18)/$F$3)^0.66*$L$41/3600</f>
        <v>0.26198024301311984</v>
      </c>
      <c r="Q60" s="155">
        <f t="shared" si="5"/>
        <v>2.8290527486864506E-6</v>
      </c>
      <c r="R60" s="155">
        <f t="shared" si="6"/>
        <v>1.2934345517634505E-5</v>
      </c>
      <c r="S60" s="155">
        <f t="shared" si="7"/>
        <v>0</v>
      </c>
    </row>
    <row r="61" spans="10:19" ht="12.75">
      <c r="J61" s="64" t="s">
        <v>74</v>
      </c>
      <c r="K61" s="105">
        <f>IF(ABS('Chemical Properties'!E56)&gt;0,'Chemical Properties'!E56,'Chemical Properties'!E19)/($F$4*($B$7+273.15))</f>
        <v>0.24680162834678984</v>
      </c>
      <c r="L61" s="160">
        <f>$L$39/$B$3*(IF(ABS('Chemical Properties'!F56)&gt;0,'Chemical Properties'!F56,'Chemical Properties'!F19)/$F$3)^0.66*$L$40/3600</f>
        <v>3.6582884386170918E-2</v>
      </c>
      <c r="M61" s="163">
        <f>0.05*(IF(ABS('Chemical Properties'!G56)&gt;0,'Chemical Properties'!G56,'Chemical Properties'!G19)/0.088)^0.66</f>
        <v>4.3556428382194916E-2</v>
      </c>
      <c r="N61" s="155">
        <f t="shared" si="3"/>
        <v>8.3083945811620648E-3</v>
      </c>
      <c r="O61" s="155">
        <f t="shared" si="4"/>
        <v>3.7273561802891542E-2</v>
      </c>
      <c r="P61" s="160">
        <f>$L$39/$B$3*(IF(ABS('Chemical Properties'!F56)&gt;0,'Chemical Properties'!F56,'Chemical Properties'!F19)/$F$3)^0.66*$L$41/3600</f>
        <v>0.26272338613599577</v>
      </c>
      <c r="Q61" s="155">
        <f t="shared" si="5"/>
        <v>1.0327239948099974E-2</v>
      </c>
      <c r="R61" s="155">
        <f t="shared" si="6"/>
        <v>4.611879757016224E-2</v>
      </c>
      <c r="S61" s="155">
        <f t="shared" si="7"/>
        <v>0</v>
      </c>
    </row>
    <row r="62" spans="10:19" ht="12.75">
      <c r="J62" s="63" t="s">
        <v>75</v>
      </c>
      <c r="K62" s="105">
        <f>IF(ABS('Chemical Properties'!E57)&gt;0,'Chemical Properties'!E57,'Chemical Properties'!E20)/($F$4*($B$7+273.15))</f>
        <v>2.267844153849265E-2</v>
      </c>
      <c r="L62" s="160">
        <f>$L$39/$B$3*(IF(ABS('Chemical Properties'!F57)&gt;0,'Chemical Properties'!F57,'Chemical Properties'!F20)/$F$3)^0.66*$L$40/3600</f>
        <v>3.9521547699779745E-2</v>
      </c>
      <c r="M62" s="163">
        <f>0.05*(IF(ABS('Chemical Properties'!G57)&gt;0,'Chemical Properties'!G57,'Chemical Properties'!G20)/0.088)^0.66</f>
        <v>5.5259813149502637E-2</v>
      </c>
      <c r="N62" s="155">
        <f t="shared" si="3"/>
        <v>1.2146893148790075E-3</v>
      </c>
      <c r="O62" s="155">
        <f t="shared" si="4"/>
        <v>5.5381670433808372E-3</v>
      </c>
      <c r="P62" s="160">
        <f>$L$39/$B$3*(IF(ABS('Chemical Properties'!F57)&gt;0,'Chemical Properties'!F57,'Chemical Properties'!F20)/$F$3)^0.66*$L$41/3600</f>
        <v>0.2838276699949468</v>
      </c>
      <c r="Q62" s="155">
        <f t="shared" si="5"/>
        <v>1.2476973863834665E-3</v>
      </c>
      <c r="R62" s="155">
        <f t="shared" si="6"/>
        <v>5.6882328417163786E-3</v>
      </c>
      <c r="S62" s="155">
        <f t="shared" si="7"/>
        <v>0</v>
      </c>
    </row>
    <row r="63" spans="10:19" ht="12.75">
      <c r="J63" s="64" t="s">
        <v>78</v>
      </c>
      <c r="K63" s="105">
        <f>IF(ABS('Chemical Properties'!E58)&gt;0,'Chemical Properties'!E58,'Chemical Properties'!E21)/($F$4*($B$7+273.15))</f>
        <v>1.1438789302199128E-2</v>
      </c>
      <c r="L63" s="160">
        <f>$L$39/$B$3*(IF(ABS('Chemical Properties'!F58)&gt;0,'Chemical Properties'!F58,'Chemical Properties'!F21)/$F$3)^0.66*$L$40/3600</f>
        <v>3.3571144610656606E-2</v>
      </c>
      <c r="M63" s="163">
        <f>0.05*(IF(ABS('Chemical Properties'!G58)&gt;0,'Chemical Properties'!G58,'Chemical Properties'!G21)/0.088)^0.66</f>
        <v>2.9910463408460909E-2</v>
      </c>
      <c r="N63" s="155">
        <f t="shared" si="3"/>
        <v>3.3868776093307442E-4</v>
      </c>
      <c r="O63" s="155">
        <f t="shared" si="4"/>
        <v>1.547282165727637E-3</v>
      </c>
      <c r="P63" s="160">
        <f>$L$39/$B$3*(IF(ABS('Chemical Properties'!F58)&gt;0,'Chemical Properties'!F58,'Chemical Properties'!F21)/$F$3)^0.66*$L$41/3600</f>
        <v>0.24109429687034201</v>
      </c>
      <c r="Q63" s="155">
        <f t="shared" si="5"/>
        <v>3.4165464311145791E-4</v>
      </c>
      <c r="R63" s="155">
        <f t="shared" si="6"/>
        <v>1.5608256709500612E-3</v>
      </c>
      <c r="S63" s="155">
        <f t="shared" si="7"/>
        <v>0</v>
      </c>
    </row>
    <row r="64" spans="10:19" ht="12.75">
      <c r="J64" s="65" t="s">
        <v>14</v>
      </c>
      <c r="K64" s="105">
        <f>IF(ABS('Chemical Properties'!E59)&gt;0,'Chemical Properties'!E59,'Chemical Properties'!E22)/($F$4*($B$7+273.15))</f>
        <v>2.0099586916721326</v>
      </c>
      <c r="L64" s="160">
        <f>$L$39/$B$3*(IF(ABS('Chemical Properties'!F59)&gt;0,'Chemical Properties'!F59,'Chemical Properties'!F22)/$F$3)^0.66*$L$40/3600</f>
        <v>4.5504214168383648E-2</v>
      </c>
      <c r="M64" s="163">
        <f>0.05*(IF(ABS('Chemical Properties'!G59)&gt;0,'Chemical Properties'!G59,'Chemical Properties'!G22)/0.088)^0.66</f>
        <v>7.4706786181619217E-2</v>
      </c>
      <c r="N64" s="155">
        <f t="shared" si="3"/>
        <v>3.4921495202817059E-2</v>
      </c>
      <c r="O64" s="155">
        <f t="shared" si="4"/>
        <v>0.14756735016142264</v>
      </c>
      <c r="P64" s="160">
        <f>$L$39/$B$3*(IF(ABS('Chemical Properties'!F59)&gt;0,'Chemical Properties'!F59,'Chemical Properties'!F22)/$F$3)^0.66*$L$41/3600</f>
        <v>0.32679274557952992</v>
      </c>
      <c r="Q64" s="155">
        <f t="shared" si="5"/>
        <v>0.10288367452968877</v>
      </c>
      <c r="R64" s="155">
        <f t="shared" si="6"/>
        <v>0.37523778644461003</v>
      </c>
      <c r="S64" s="155">
        <f t="shared" si="7"/>
        <v>0</v>
      </c>
    </row>
    <row r="65" spans="10:19" ht="14.25" customHeight="1">
      <c r="J65" s="65" t="s">
        <v>79</v>
      </c>
      <c r="K65" s="105">
        <f>IF(ABS('Chemical Properties'!E60)&gt;0,'Chemical Properties'!E60,'Chemical Properties'!E23)/($F$4*($B$7+273.15))</f>
        <v>5.7193946510995644E-2</v>
      </c>
      <c r="L65" s="160">
        <f>$L$39/$B$3*(IF(ABS('Chemical Properties'!F60)&gt;0,'Chemical Properties'!F60,'Chemical Properties'!F23)/$F$3)^0.66*$L$40/3600</f>
        <v>3.8016158937676077E-2</v>
      </c>
      <c r="M65" s="163">
        <f>0.05*(IF(ABS('Chemical Properties'!G60)&gt;0,'Chemical Properties'!G60,'Chemical Properties'!G23)/0.088)^0.66</f>
        <v>5.582817673271484E-2</v>
      </c>
      <c r="N65" s="155">
        <f t="shared" si="3"/>
        <v>2.9456262244356769E-3</v>
      </c>
      <c r="O65" s="155">
        <f t="shared" si="4"/>
        <v>1.33771233573311E-2</v>
      </c>
      <c r="P65" s="160">
        <f>$L$39/$B$3*(IF(ABS('Chemical Properties'!F60)&gt;0,'Chemical Properties'!F60,'Chemical Properties'!F23)/$F$3)^0.66*$L$41/3600</f>
        <v>0.27301658061074124</v>
      </c>
      <c r="Q65" s="155">
        <f t="shared" si="5"/>
        <v>3.1561216985810025E-3</v>
      </c>
      <c r="R65" s="155">
        <f t="shared" si="6"/>
        <v>1.4326177966787701E-2</v>
      </c>
      <c r="S65" s="155">
        <f t="shared" si="7"/>
        <v>0</v>
      </c>
    </row>
    <row r="66" spans="10:19" ht="14.25" customHeight="1">
      <c r="J66" s="65" t="s">
        <v>15</v>
      </c>
      <c r="K66" s="105">
        <f>IF(ABS('Chemical Properties'!E61)&gt;0,'Chemical Properties'!E61,'Chemical Properties'!E24)/($F$4*($B$7+273.15))</f>
        <v>1.5810040928396652E-9</v>
      </c>
      <c r="L66" s="160">
        <f>$L$39/$B$3*(IF(ABS('Chemical Properties'!F61)&gt;0,'Chemical Properties'!F61,'Chemical Properties'!F24)/$F$3)^0.66*$L$40/3600</f>
        <v>3.7762280701053662E-2</v>
      </c>
      <c r="M66" s="163">
        <f>0.05*(IF(ABS('Chemical Properties'!G61)&gt;0,'Chemical Properties'!G61,'Chemical Properties'!G24)/0.088)^0.66</f>
        <v>4.3152841263491018E-2</v>
      </c>
      <c r="N66" s="155">
        <f t="shared" si="3"/>
        <v>6.8224818531978438E-11</v>
      </c>
      <c r="O66" s="155">
        <f t="shared" si="4"/>
        <v>3.1192382010658548E-10</v>
      </c>
      <c r="P66" s="160">
        <f>$L$39/$B$3*(IF(ABS('Chemical Properties'!F61)&gt;0,'Chemical Properties'!F61,'Chemical Properties'!F24)/$F$3)^0.66*$L$41/3600</f>
        <v>0.27119333044578459</v>
      </c>
      <c r="Q66" s="155">
        <f t="shared" si="5"/>
        <v>6.8224818638076178E-11</v>
      </c>
      <c r="R66" s="155">
        <f t="shared" si="6"/>
        <v>3.1192382010658548E-10</v>
      </c>
      <c r="S66" s="155">
        <f t="shared" si="7"/>
        <v>0</v>
      </c>
    </row>
    <row r="67" spans="10:19" ht="14.25" customHeight="1">
      <c r="J67" s="65" t="s">
        <v>80</v>
      </c>
      <c r="K67" s="105">
        <f>IF(ABS('Chemical Properties'!E62)&gt;0,'Chemical Properties'!E62,'Chemical Properties'!E25)/($F$4*($B$7+273.15))</f>
        <v>123.78404137736914</v>
      </c>
      <c r="L67" s="160">
        <f>$L$39/$B$3*(IF(ABS('Chemical Properties'!F62)&gt;0,'Chemical Properties'!F62,'Chemical Properties'!F25)/$F$3)^0.66*$L$40/3600</f>
        <v>2.9061189063806562E-2</v>
      </c>
      <c r="M67" s="163">
        <f>0.05*(IF(ABS('Chemical Properties'!G62)&gt;0,'Chemical Properties'!G62,'Chemical Properties'!G25)/0.088)^0.66</f>
        <v>4.4317990900391478E-2</v>
      </c>
      <c r="N67" s="155">
        <f t="shared" si="3"/>
        <v>2.8908049485219318E-2</v>
      </c>
      <c r="O67" s="155">
        <f t="shared" si="4"/>
        <v>0.12380586933228788</v>
      </c>
      <c r="P67" s="160">
        <f>$L$39/$B$3*(IF(ABS('Chemical Properties'!F62)&gt;0,'Chemical Properties'!F62,'Chemical Properties'!F25)/$F$3)^0.66*$L$41/3600</f>
        <v>0.20870563172071355</v>
      </c>
      <c r="Q67" s="155">
        <f t="shared" si="5"/>
        <v>0.20105657762585843</v>
      </c>
      <c r="R67" s="155">
        <f t="shared" si="6"/>
        <v>0.6011742494546537</v>
      </c>
      <c r="S67" s="155">
        <f t="shared" si="7"/>
        <v>0</v>
      </c>
    </row>
    <row r="68" spans="10:19" ht="14.25" customHeight="1">
      <c r="J68" s="65" t="s">
        <v>59</v>
      </c>
      <c r="K68" s="105">
        <f>IF(ABS('Chemical Properties'!E63)&gt;0,'Chemical Properties'!E63,'Chemical Properties'!E26)/($F$4*($B$7+273.15))</f>
        <v>0</v>
      </c>
      <c r="L68" s="160">
        <f>$L$39/$B$3*(IF(ABS('Chemical Properties'!F63)&gt;0,'Chemical Properties'!F63,'Chemical Properties'!F26)/$F$3)^0.66*$L$40/3600</f>
        <v>0</v>
      </c>
      <c r="M68" s="163">
        <f>0.05*(IF(ABS('Chemical Properties'!G63)&gt;0,'Chemical Properties'!G63,'Chemical Properties'!G26)/0.088)^0.66</f>
        <v>0</v>
      </c>
      <c r="N68" s="155" t="e">
        <f>(1/L68+1/(K68*M68))^-1</f>
        <v>#DIV/0!</v>
      </c>
      <c r="O68" s="155" t="e">
        <f>1-EXP(-N68*$B$3/$L$39*3600)</f>
        <v>#DIV/0!</v>
      </c>
      <c r="P68" s="160">
        <f>$L$39/$B$3*(IF(ABS('Chemical Properties'!F63)&gt;0,'Chemical Properties'!F63,'Chemical Properties'!F26)/$F$3)^0.66*$L$41/3600</f>
        <v>0</v>
      </c>
      <c r="Q68" s="155" t="e">
        <f>(1/P68+1/(K68*M68))^-1</f>
        <v>#DIV/0!</v>
      </c>
      <c r="R68" s="155" t="e">
        <f>1-EXP(-Q68*$B$3/$L$39*3600)</f>
        <v>#DIV/0!</v>
      </c>
      <c r="S68" s="155" t="e">
        <f>R68*K101</f>
        <v>#DIV/0!</v>
      </c>
    </row>
    <row r="69" spans="10:19" ht="14.25" customHeight="1">
      <c r="J69" s="81" t="s">
        <v>60</v>
      </c>
      <c r="K69" s="105">
        <f>IF(ABS('Chemical Properties'!E64)&gt;0,'Chemical Properties'!E64,'Chemical Properties'!E27)/($F$4*($B$7+273.15))</f>
        <v>0</v>
      </c>
      <c r="L69" s="160">
        <f>$L$39/$B$3*(IF(ABS('Chemical Properties'!F64)&gt;0,'Chemical Properties'!F64,'Chemical Properties'!F27)/$F$3)^0.66*$L$40/3600</f>
        <v>0</v>
      </c>
      <c r="M69" s="163">
        <f>0.05*(IF(ABS('Chemical Properties'!G64)&gt;0,'Chemical Properties'!G64,'Chemical Properties'!G27)/0.088)^0.66</f>
        <v>0</v>
      </c>
      <c r="N69" s="155" t="e">
        <f>(1/L69+1/(K69*M69))^-1</f>
        <v>#DIV/0!</v>
      </c>
      <c r="O69" s="155" t="e">
        <f>1-EXP(-N69*$B$3/$L$39*3600)</f>
        <v>#DIV/0!</v>
      </c>
      <c r="P69" s="160">
        <f>$L$39/$B$3*(IF(ABS('Chemical Properties'!F64)&gt;0,'Chemical Properties'!F64,'Chemical Properties'!F27)/$F$3)^0.66*$L$41/3600</f>
        <v>0</v>
      </c>
      <c r="Q69" s="155" t="e">
        <f>(1/P69+1/(K69*M69))^-1</f>
        <v>#DIV/0!</v>
      </c>
      <c r="R69" s="155" t="e">
        <f>1-EXP(-Q69*$B$3/$L$39*3600)</f>
        <v>#DIV/0!</v>
      </c>
      <c r="S69" s="155" t="e">
        <f>R69*K102</f>
        <v>#DIV/0!</v>
      </c>
    </row>
    <row r="70" spans="10:19" ht="14.25" customHeight="1">
      <c r="J70" s="65" t="s">
        <v>61</v>
      </c>
      <c r="K70" s="105">
        <f>IF(ABS('Chemical Properties'!E65)&gt;0,'Chemical Properties'!E65,'Chemical Properties'!E28)/($F$4*($B$7+273.15))</f>
        <v>0</v>
      </c>
      <c r="L70" s="160">
        <f>$L$39/$B$3*(IF(ABS('Chemical Properties'!F65)&gt;0,'Chemical Properties'!F65,'Chemical Properties'!F28)/$F$3)^0.66*$L$40/3600</f>
        <v>0</v>
      </c>
      <c r="M70" s="163">
        <f>0.05*(IF(ABS('Chemical Properties'!G65)&gt;0,'Chemical Properties'!G65,'Chemical Properties'!G28)/0.088)^0.66</f>
        <v>0</v>
      </c>
      <c r="N70" s="155" t="e">
        <f>(1/L70+1/(K70*M70))^-1</f>
        <v>#DIV/0!</v>
      </c>
      <c r="O70" s="155" t="e">
        <f>1-EXP(-N70*$B$3/$L$39*3600)</f>
        <v>#DIV/0!</v>
      </c>
      <c r="P70" s="160">
        <f>$L$39/$B$3*(IF(ABS('Chemical Properties'!F65)&gt;0,'Chemical Properties'!F65,'Chemical Properties'!F28)/$F$3)^0.66*$L$41/3600</f>
        <v>0</v>
      </c>
      <c r="Q70" s="155" t="e">
        <f>(1/P70+1/(K70*M70))^-1</f>
        <v>#DIV/0!</v>
      </c>
      <c r="R70" s="155" t="e">
        <f>1-EXP(-Q70*$B$3/$L$39*3600)</f>
        <v>#DIV/0!</v>
      </c>
      <c r="S70" s="155" t="e">
        <f>R70*K103</f>
        <v>#DIV/0!</v>
      </c>
    </row>
    <row r="71" spans="10:19" ht="14.25" customHeight="1">
      <c r="J71" s="65" t="s">
        <v>256</v>
      </c>
      <c r="K71" s="105">
        <f>IF(ABS('Chemical Properties'!E66)&gt;0,'Chemical Properties'!E66,'Chemical Properties'!E29)/($F$4*($B$7+273.15))</f>
        <v>38.810177989604185</v>
      </c>
      <c r="L71" s="160">
        <f>$L$39/$B$3*(IF(ABS('Chemical Properties'!F66)&gt;0,'Chemical Properties'!F66,'Chemical Properties'!F29)/$F$3)^0.66*$L$40/3600</f>
        <v>3.902308272085861E-2</v>
      </c>
      <c r="M71" s="163">
        <f>0.05*(IF(ABS('Chemical Properties'!G66)&gt;0,'Chemical Properties'!G66,'Chemical Properties'!G29)/0.088)^0.66</f>
        <v>5.4113938574846525E-2</v>
      </c>
      <c r="N71" s="155">
        <f>(1/L71+1/(K71*M71))^-1</f>
        <v>3.8311225587883288E-2</v>
      </c>
      <c r="O71" s="155">
        <f>1-EXP(-N71*$B$3/$L$39*3600)</f>
        <v>0.16067637798407608</v>
      </c>
      <c r="P71" s="160">
        <f>$L$39/$B$3*(IF(ABS('Chemical Properties'!F66)&gt;0,'Chemical Properties'!F66,'Chemical Properties'!F29)/$F$3)^0.66*$L$41/3600</f>
        <v>0.280247897395554</v>
      </c>
      <c r="Q71" s="155">
        <f>(1/P71+1/(K71*M71))^-1</f>
        <v>0.24725418158923973</v>
      </c>
      <c r="R71" s="155">
        <f>1-EXP(-Q71*$B$3/$L$39*3600)</f>
        <v>0.6771108224605451</v>
      </c>
      <c r="S71" s="155">
        <f>R71*K104</f>
        <v>0</v>
      </c>
    </row>
    <row r="73" spans="10:19" ht="14.25" customHeight="1">
      <c r="J73" s="212"/>
      <c r="K73" s="225"/>
      <c r="L73" s="226"/>
      <c r="M73" s="227"/>
      <c r="N73" s="228"/>
      <c r="O73" s="228"/>
      <c r="P73" s="226"/>
      <c r="Q73" s="228"/>
      <c r="R73" s="228"/>
      <c r="S73" s="228"/>
    </row>
    <row r="77" spans="10:19" ht="14.25" customHeight="1">
      <c r="J77" s="307"/>
      <c r="K77" s="307"/>
      <c r="L77" s="307"/>
      <c r="M77" s="307"/>
      <c r="N77" s="307"/>
      <c r="O77" s="307"/>
      <c r="P77" s="152"/>
    </row>
    <row r="78" spans="10:19" ht="38.25" customHeight="1">
      <c r="J78" s="128" t="s">
        <v>153</v>
      </c>
      <c r="K78" s="129" t="s">
        <v>155</v>
      </c>
      <c r="L78" s="129" t="s">
        <v>156</v>
      </c>
      <c r="M78" s="144" t="s">
        <v>157</v>
      </c>
      <c r="N78" s="129" t="s">
        <v>158</v>
      </c>
      <c r="O78" s="129" t="s">
        <v>154</v>
      </c>
      <c r="P78" s="153" t="s">
        <v>180</v>
      </c>
      <c r="Q78" s="57"/>
      <c r="R78" s="57"/>
      <c r="S78" s="57"/>
    </row>
    <row r="79" spans="10:19" ht="14.25" customHeight="1">
      <c r="J79" s="60" t="s">
        <v>17</v>
      </c>
      <c r="K79" s="72">
        <f t="shared" ref="K79:K100" si="8">$B$4*B19</f>
        <v>0</v>
      </c>
      <c r="L79" s="127">
        <f>M3*$B$4</f>
        <v>0</v>
      </c>
      <c r="M79" s="162">
        <f>K3</f>
        <v>0</v>
      </c>
      <c r="N79" s="130" t="e">
        <f t="shared" ref="N79:N100" si="9">L79/K79*100</f>
        <v>#DIV/0!</v>
      </c>
      <c r="O79" s="130" t="e">
        <f t="shared" ref="O79:O100" si="10">M79/K79*100</f>
        <v>#DIV/0!</v>
      </c>
      <c r="P79" s="154" t="e">
        <f>N79+O79</f>
        <v>#DIV/0!</v>
      </c>
    </row>
    <row r="80" spans="10:19" ht="14.25" customHeight="1">
      <c r="J80" s="62" t="s">
        <v>6</v>
      </c>
      <c r="K80" s="72">
        <f t="shared" si="8"/>
        <v>0</v>
      </c>
      <c r="L80" s="127">
        <f t="shared" ref="L80:L100" si="11">M4*$B$4</f>
        <v>0</v>
      </c>
      <c r="M80" s="162">
        <f t="shared" ref="M80:M100" si="12">K4</f>
        <v>0</v>
      </c>
      <c r="N80" s="130" t="e">
        <f t="shared" si="9"/>
        <v>#DIV/0!</v>
      </c>
      <c r="O80" s="130" t="e">
        <f t="shared" si="10"/>
        <v>#DIV/0!</v>
      </c>
      <c r="P80" s="154" t="e">
        <f t="shared" ref="P80:P100" si="13">N80+O80</f>
        <v>#DIV/0!</v>
      </c>
    </row>
    <row r="81" spans="10:16" ht="14.25" customHeight="1">
      <c r="J81" s="62" t="s">
        <v>13</v>
      </c>
      <c r="K81" s="72">
        <f t="shared" si="8"/>
        <v>0</v>
      </c>
      <c r="L81" s="127">
        <f t="shared" si="11"/>
        <v>0</v>
      </c>
      <c r="M81" s="162">
        <f t="shared" si="12"/>
        <v>0</v>
      </c>
      <c r="N81" s="130" t="e">
        <f t="shared" si="9"/>
        <v>#DIV/0!</v>
      </c>
      <c r="O81" s="130" t="e">
        <f t="shared" si="10"/>
        <v>#DIV/0!</v>
      </c>
      <c r="P81" s="154" t="e">
        <f t="shared" si="13"/>
        <v>#DIV/0!</v>
      </c>
    </row>
    <row r="82" spans="10:16" ht="14.25" customHeight="1">
      <c r="J82" s="60" t="s">
        <v>69</v>
      </c>
      <c r="K82" s="72">
        <f t="shared" si="8"/>
        <v>0</v>
      </c>
      <c r="L82" s="127">
        <f t="shared" si="11"/>
        <v>0</v>
      </c>
      <c r="M82" s="162">
        <f t="shared" si="12"/>
        <v>0</v>
      </c>
      <c r="N82" s="130" t="e">
        <f t="shared" si="9"/>
        <v>#DIV/0!</v>
      </c>
      <c r="O82" s="130" t="e">
        <f t="shared" si="10"/>
        <v>#DIV/0!</v>
      </c>
      <c r="P82" s="154" t="e">
        <f t="shared" si="13"/>
        <v>#DIV/0!</v>
      </c>
    </row>
    <row r="83" spans="10:16" ht="14.25" customHeight="1">
      <c r="J83" s="62" t="s">
        <v>9</v>
      </c>
      <c r="K83" s="72">
        <f t="shared" si="8"/>
        <v>0</v>
      </c>
      <c r="L83" s="127">
        <f t="shared" si="11"/>
        <v>0</v>
      </c>
      <c r="M83" s="162">
        <f t="shared" si="12"/>
        <v>0</v>
      </c>
      <c r="N83" s="130" t="e">
        <f t="shared" si="9"/>
        <v>#DIV/0!</v>
      </c>
      <c r="O83" s="130" t="e">
        <f t="shared" si="10"/>
        <v>#DIV/0!</v>
      </c>
      <c r="P83" s="154" t="e">
        <f t="shared" si="13"/>
        <v>#DIV/0!</v>
      </c>
    </row>
    <row r="84" spans="10:16" ht="14.25" customHeight="1">
      <c r="J84" s="63" t="s">
        <v>7</v>
      </c>
      <c r="K84" s="72">
        <f t="shared" si="8"/>
        <v>0</v>
      </c>
      <c r="L84" s="127">
        <f t="shared" si="11"/>
        <v>0</v>
      </c>
      <c r="M84" s="162">
        <f t="shared" si="12"/>
        <v>0</v>
      </c>
      <c r="N84" s="130" t="e">
        <f t="shared" si="9"/>
        <v>#DIV/0!</v>
      </c>
      <c r="O84" s="130" t="e">
        <f t="shared" si="10"/>
        <v>#DIV/0!</v>
      </c>
      <c r="P84" s="154" t="e">
        <f t="shared" si="13"/>
        <v>#DIV/0!</v>
      </c>
    </row>
    <row r="85" spans="10:16" ht="14.25" customHeight="1">
      <c r="J85" s="62" t="s">
        <v>8</v>
      </c>
      <c r="K85" s="72">
        <f t="shared" si="8"/>
        <v>0</v>
      </c>
      <c r="L85" s="127">
        <f t="shared" si="11"/>
        <v>0</v>
      </c>
      <c r="M85" s="162">
        <f t="shared" si="12"/>
        <v>0</v>
      </c>
      <c r="N85" s="130" t="e">
        <f t="shared" si="9"/>
        <v>#DIV/0!</v>
      </c>
      <c r="O85" s="130" t="e">
        <f t="shared" si="10"/>
        <v>#DIV/0!</v>
      </c>
      <c r="P85" s="154" t="e">
        <f t="shared" si="13"/>
        <v>#DIV/0!</v>
      </c>
    </row>
    <row r="86" spans="10:16" ht="14.25" customHeight="1">
      <c r="J86" s="62" t="s">
        <v>11</v>
      </c>
      <c r="K86" s="72">
        <f t="shared" si="8"/>
        <v>0</v>
      </c>
      <c r="L86" s="127">
        <f t="shared" si="11"/>
        <v>0</v>
      </c>
      <c r="M86" s="162">
        <f t="shared" si="12"/>
        <v>0</v>
      </c>
      <c r="N86" s="130" t="e">
        <f t="shared" si="9"/>
        <v>#DIV/0!</v>
      </c>
      <c r="O86" s="130" t="e">
        <f t="shared" si="10"/>
        <v>#DIV/0!</v>
      </c>
      <c r="P86" s="154" t="e">
        <f t="shared" si="13"/>
        <v>#DIV/0!</v>
      </c>
    </row>
    <row r="87" spans="10:16" ht="14.25" customHeight="1">
      <c r="J87" s="63" t="s">
        <v>70</v>
      </c>
      <c r="K87" s="72">
        <f t="shared" si="8"/>
        <v>0</v>
      </c>
      <c r="L87" s="127">
        <f t="shared" si="11"/>
        <v>0</v>
      </c>
      <c r="M87" s="162">
        <f t="shared" si="12"/>
        <v>0</v>
      </c>
      <c r="N87" s="130" t="e">
        <f t="shared" si="9"/>
        <v>#DIV/0!</v>
      </c>
      <c r="O87" s="130" t="e">
        <f t="shared" si="10"/>
        <v>#DIV/0!</v>
      </c>
      <c r="P87" s="154" t="e">
        <f t="shared" si="13"/>
        <v>#DIV/0!</v>
      </c>
    </row>
    <row r="88" spans="10:16" ht="14.25" customHeight="1">
      <c r="J88" s="63" t="s">
        <v>16</v>
      </c>
      <c r="K88" s="72">
        <f t="shared" si="8"/>
        <v>0</v>
      </c>
      <c r="L88" s="127">
        <f t="shared" si="11"/>
        <v>0</v>
      </c>
      <c r="M88" s="162">
        <f t="shared" si="12"/>
        <v>0</v>
      </c>
      <c r="N88" s="130" t="e">
        <f t="shared" si="9"/>
        <v>#DIV/0!</v>
      </c>
      <c r="O88" s="130" t="e">
        <f t="shared" si="10"/>
        <v>#DIV/0!</v>
      </c>
      <c r="P88" s="154" t="e">
        <f t="shared" si="13"/>
        <v>#DIV/0!</v>
      </c>
    </row>
    <row r="89" spans="10:16" ht="14.25" customHeight="1">
      <c r="J89" s="60" t="s">
        <v>71</v>
      </c>
      <c r="K89" s="72">
        <f t="shared" si="8"/>
        <v>0</v>
      </c>
      <c r="L89" s="127">
        <f t="shared" si="11"/>
        <v>0</v>
      </c>
      <c r="M89" s="162">
        <f t="shared" si="12"/>
        <v>0</v>
      </c>
      <c r="N89" s="130" t="e">
        <f t="shared" si="9"/>
        <v>#DIV/0!</v>
      </c>
      <c r="O89" s="130" t="e">
        <f t="shared" si="10"/>
        <v>#DIV/0!</v>
      </c>
      <c r="P89" s="154" t="e">
        <f t="shared" si="13"/>
        <v>#DIV/0!</v>
      </c>
    </row>
    <row r="90" spans="10:16" ht="14.25" customHeight="1">
      <c r="J90" s="62" t="s">
        <v>12</v>
      </c>
      <c r="K90" s="72">
        <f t="shared" si="8"/>
        <v>0</v>
      </c>
      <c r="L90" s="127">
        <f t="shared" si="11"/>
        <v>0</v>
      </c>
      <c r="M90" s="162">
        <f t="shared" si="12"/>
        <v>0</v>
      </c>
      <c r="N90" s="130" t="e">
        <f t="shared" si="9"/>
        <v>#DIV/0!</v>
      </c>
      <c r="O90" s="130" t="e">
        <f t="shared" si="10"/>
        <v>#DIV/0!</v>
      </c>
      <c r="P90" s="154" t="e">
        <f t="shared" si="13"/>
        <v>#DIV/0!</v>
      </c>
    </row>
    <row r="91" spans="10:16" ht="14.25" customHeight="1">
      <c r="J91" s="62" t="s">
        <v>10</v>
      </c>
      <c r="K91" s="72">
        <f t="shared" si="8"/>
        <v>0</v>
      </c>
      <c r="L91" s="127">
        <f t="shared" si="11"/>
        <v>0</v>
      </c>
      <c r="M91" s="162">
        <f t="shared" si="12"/>
        <v>0</v>
      </c>
      <c r="N91" s="130" t="e">
        <f t="shared" si="9"/>
        <v>#DIV/0!</v>
      </c>
      <c r="O91" s="130" t="e">
        <f t="shared" si="10"/>
        <v>#DIV/0!</v>
      </c>
      <c r="P91" s="154" t="e">
        <f t="shared" si="13"/>
        <v>#DIV/0!</v>
      </c>
    </row>
    <row r="92" spans="10:16" ht="14.25" customHeight="1">
      <c r="J92" s="63" t="s">
        <v>72</v>
      </c>
      <c r="K92" s="72">
        <f t="shared" si="8"/>
        <v>0</v>
      </c>
      <c r="L92" s="127">
        <f t="shared" si="11"/>
        <v>0</v>
      </c>
      <c r="M92" s="162">
        <f t="shared" si="12"/>
        <v>0</v>
      </c>
      <c r="N92" s="130" t="e">
        <f t="shared" si="9"/>
        <v>#DIV/0!</v>
      </c>
      <c r="O92" s="130" t="e">
        <f t="shared" si="10"/>
        <v>#DIV/0!</v>
      </c>
      <c r="P92" s="154" t="e">
        <f t="shared" si="13"/>
        <v>#DIV/0!</v>
      </c>
    </row>
    <row r="93" spans="10:16" ht="14.25" customHeight="1">
      <c r="J93" s="63" t="s">
        <v>73</v>
      </c>
      <c r="K93" s="72">
        <f t="shared" si="8"/>
        <v>0</v>
      </c>
      <c r="L93" s="127">
        <f t="shared" si="11"/>
        <v>0</v>
      </c>
      <c r="M93" s="162">
        <f t="shared" si="12"/>
        <v>0</v>
      </c>
      <c r="N93" s="130" t="e">
        <f t="shared" si="9"/>
        <v>#DIV/0!</v>
      </c>
      <c r="O93" s="130" t="e">
        <f t="shared" si="10"/>
        <v>#DIV/0!</v>
      </c>
      <c r="P93" s="154" t="e">
        <f t="shared" si="13"/>
        <v>#DIV/0!</v>
      </c>
    </row>
    <row r="94" spans="10:16" ht="14.25" customHeight="1">
      <c r="J94" s="64" t="s">
        <v>74</v>
      </c>
      <c r="K94" s="72">
        <f t="shared" si="8"/>
        <v>0</v>
      </c>
      <c r="L94" s="127">
        <f t="shared" si="11"/>
        <v>0</v>
      </c>
      <c r="M94" s="162">
        <f t="shared" si="12"/>
        <v>0</v>
      </c>
      <c r="N94" s="130" t="e">
        <f t="shared" si="9"/>
        <v>#DIV/0!</v>
      </c>
      <c r="O94" s="130" t="e">
        <f t="shared" si="10"/>
        <v>#DIV/0!</v>
      </c>
      <c r="P94" s="154" t="e">
        <f t="shared" si="13"/>
        <v>#DIV/0!</v>
      </c>
    </row>
    <row r="95" spans="10:16" ht="14.25" customHeight="1">
      <c r="J95" s="63" t="s">
        <v>75</v>
      </c>
      <c r="K95" s="72">
        <f t="shared" si="8"/>
        <v>0</v>
      </c>
      <c r="L95" s="127">
        <f t="shared" si="11"/>
        <v>0</v>
      </c>
      <c r="M95" s="162">
        <f t="shared" si="12"/>
        <v>0</v>
      </c>
      <c r="N95" s="130" t="e">
        <f t="shared" si="9"/>
        <v>#DIV/0!</v>
      </c>
      <c r="O95" s="130" t="e">
        <f t="shared" si="10"/>
        <v>#DIV/0!</v>
      </c>
      <c r="P95" s="154" t="e">
        <f t="shared" si="13"/>
        <v>#DIV/0!</v>
      </c>
    </row>
    <row r="96" spans="10:16" ht="14.25" customHeight="1">
      <c r="J96" s="64" t="s">
        <v>78</v>
      </c>
      <c r="K96" s="72">
        <f t="shared" si="8"/>
        <v>0</v>
      </c>
      <c r="L96" s="127">
        <f t="shared" si="11"/>
        <v>0</v>
      </c>
      <c r="M96" s="162">
        <f t="shared" si="12"/>
        <v>0</v>
      </c>
      <c r="N96" s="130" t="e">
        <f t="shared" si="9"/>
        <v>#DIV/0!</v>
      </c>
      <c r="O96" s="130" t="e">
        <f t="shared" si="10"/>
        <v>#DIV/0!</v>
      </c>
      <c r="P96" s="154" t="e">
        <f t="shared" si="13"/>
        <v>#DIV/0!</v>
      </c>
    </row>
    <row r="97" spans="10:16" ht="14.25" customHeight="1">
      <c r="J97" s="65" t="s">
        <v>14</v>
      </c>
      <c r="K97" s="72">
        <f t="shared" si="8"/>
        <v>0</v>
      </c>
      <c r="L97" s="127">
        <f t="shared" si="11"/>
        <v>0</v>
      </c>
      <c r="M97" s="162">
        <f t="shared" si="12"/>
        <v>0</v>
      </c>
      <c r="N97" s="130" t="e">
        <f t="shared" si="9"/>
        <v>#DIV/0!</v>
      </c>
      <c r="O97" s="130" t="e">
        <f t="shared" si="10"/>
        <v>#DIV/0!</v>
      </c>
      <c r="P97" s="154" t="e">
        <f t="shared" si="13"/>
        <v>#DIV/0!</v>
      </c>
    </row>
    <row r="98" spans="10:16" ht="14.25" customHeight="1">
      <c r="J98" s="65" t="s">
        <v>79</v>
      </c>
      <c r="K98" s="72">
        <f t="shared" si="8"/>
        <v>0</v>
      </c>
      <c r="L98" s="127">
        <f t="shared" si="11"/>
        <v>0</v>
      </c>
      <c r="M98" s="162">
        <f t="shared" si="12"/>
        <v>0</v>
      </c>
      <c r="N98" s="130" t="e">
        <f t="shared" si="9"/>
        <v>#DIV/0!</v>
      </c>
      <c r="O98" s="130" t="e">
        <f t="shared" si="10"/>
        <v>#DIV/0!</v>
      </c>
      <c r="P98" s="154" t="e">
        <f t="shared" si="13"/>
        <v>#DIV/0!</v>
      </c>
    </row>
    <row r="99" spans="10:16" ht="14.25" customHeight="1">
      <c r="J99" s="65" t="s">
        <v>15</v>
      </c>
      <c r="K99" s="72">
        <f t="shared" si="8"/>
        <v>0</v>
      </c>
      <c r="L99" s="127">
        <f t="shared" si="11"/>
        <v>0</v>
      </c>
      <c r="M99" s="162">
        <f t="shared" si="12"/>
        <v>0</v>
      </c>
      <c r="N99" s="130" t="e">
        <f t="shared" si="9"/>
        <v>#DIV/0!</v>
      </c>
      <c r="O99" s="130" t="e">
        <f t="shared" si="10"/>
        <v>#DIV/0!</v>
      </c>
      <c r="P99" s="154" t="e">
        <f t="shared" si="13"/>
        <v>#DIV/0!</v>
      </c>
    </row>
    <row r="100" spans="10:16" ht="14.25" customHeight="1">
      <c r="J100" s="65" t="s">
        <v>80</v>
      </c>
      <c r="K100" s="72">
        <f t="shared" si="8"/>
        <v>0</v>
      </c>
      <c r="L100" s="127">
        <f t="shared" si="11"/>
        <v>0</v>
      </c>
      <c r="M100" s="162">
        <f t="shared" si="12"/>
        <v>0</v>
      </c>
      <c r="N100" s="130" t="e">
        <f t="shared" si="9"/>
        <v>#DIV/0!</v>
      </c>
      <c r="O100" s="130" t="e">
        <f t="shared" si="10"/>
        <v>#DIV/0!</v>
      </c>
      <c r="P100" s="154" t="e">
        <f t="shared" si="13"/>
        <v>#DIV/0!</v>
      </c>
    </row>
    <row r="101" spans="10:16" ht="14.25" customHeight="1">
      <c r="J101" s="65" t="s">
        <v>59</v>
      </c>
      <c r="K101" s="72">
        <f>$B$4*B41</f>
        <v>0</v>
      </c>
      <c r="L101" s="127" t="e">
        <f>M25*$B$4</f>
        <v>#DIV/0!</v>
      </c>
      <c r="M101" s="162" t="e">
        <f>K25</f>
        <v>#DIV/0!</v>
      </c>
      <c r="N101" s="130" t="e">
        <f>L101/K101*100</f>
        <v>#DIV/0!</v>
      </c>
      <c r="O101" s="130" t="e">
        <f>M101/K101*100</f>
        <v>#DIV/0!</v>
      </c>
      <c r="P101" s="154" t="e">
        <f>N101+O101</f>
        <v>#DIV/0!</v>
      </c>
    </row>
    <row r="102" spans="10:16" ht="14.25" customHeight="1">
      <c r="J102" s="81" t="s">
        <v>60</v>
      </c>
      <c r="K102" s="72">
        <f>$B$4*B42</f>
        <v>0</v>
      </c>
      <c r="L102" s="127" t="e">
        <f>M26*$B$4</f>
        <v>#DIV/0!</v>
      </c>
      <c r="M102" s="162" t="e">
        <f>K26</f>
        <v>#DIV/0!</v>
      </c>
      <c r="N102" s="130" t="e">
        <f>L102/K102*100</f>
        <v>#DIV/0!</v>
      </c>
      <c r="O102" s="130" t="e">
        <f>M102/K102*100</f>
        <v>#DIV/0!</v>
      </c>
      <c r="P102" s="154" t="e">
        <f>N102+O102</f>
        <v>#DIV/0!</v>
      </c>
    </row>
    <row r="103" spans="10:16" ht="14.25" customHeight="1">
      <c r="J103" s="65" t="s">
        <v>61</v>
      </c>
      <c r="K103" s="72">
        <f>$B$4*B43</f>
        <v>0</v>
      </c>
      <c r="L103" s="127" t="e">
        <f>M27*$B$4</f>
        <v>#DIV/0!</v>
      </c>
      <c r="M103" s="162" t="e">
        <f>K27</f>
        <v>#DIV/0!</v>
      </c>
      <c r="N103" s="130" t="e">
        <f>L103/K103*100</f>
        <v>#DIV/0!</v>
      </c>
      <c r="O103" s="130" t="e">
        <f>M103/K103*100</f>
        <v>#DIV/0!</v>
      </c>
      <c r="P103" s="154" t="e">
        <f>N103+O103</f>
        <v>#DIV/0!</v>
      </c>
    </row>
    <row r="104" spans="10:16" ht="14.25" customHeight="1">
      <c r="J104" s="65" t="s">
        <v>256</v>
      </c>
      <c r="K104" s="72">
        <f>$B$4*B44</f>
        <v>0</v>
      </c>
      <c r="L104" s="127">
        <f>M28*$B$4</f>
        <v>0</v>
      </c>
      <c r="M104" s="162">
        <f>K28</f>
        <v>0</v>
      </c>
      <c r="N104" s="130" t="e">
        <f>L104/K104*100</f>
        <v>#DIV/0!</v>
      </c>
      <c r="O104" s="130" t="e">
        <f>M104/K104*100</f>
        <v>#DIV/0!</v>
      </c>
      <c r="P104" s="154" t="e">
        <f>N104+O104</f>
        <v>#DIV/0!</v>
      </c>
    </row>
    <row r="106" spans="10:16" ht="14.25" customHeight="1">
      <c r="J106" s="212"/>
      <c r="K106" s="89"/>
      <c r="L106" s="213"/>
      <c r="M106" s="224"/>
      <c r="N106" s="133"/>
      <c r="O106" s="133"/>
      <c r="P106" s="229"/>
    </row>
  </sheetData>
  <mergeCells count="3">
    <mergeCell ref="A1:E1"/>
    <mergeCell ref="A18:C18"/>
    <mergeCell ref="J77:O77"/>
  </mergeCells>
  <pageMargins left="0.7" right="0.7" top="0.75" bottom="0.75" header="0.3" footer="0.3"/>
  <pageSetup scale="30" orientation="portrait" r:id="rId1"/>
</worksheet>
</file>

<file path=xl/worksheets/sheet5.xml><?xml version="1.0" encoding="utf-8"?>
<worksheet xmlns="http://schemas.openxmlformats.org/spreadsheetml/2006/main" xmlns:r="http://schemas.openxmlformats.org/officeDocument/2006/relationships">
  <sheetPr>
    <tabColor rgb="FF00B050"/>
    <pageSetUpPr fitToPage="1"/>
  </sheetPr>
  <dimension ref="A1:R99"/>
  <sheetViews>
    <sheetView workbookViewId="0">
      <selection activeCell="E23" sqref="E23"/>
    </sheetView>
  </sheetViews>
  <sheetFormatPr defaultRowHeight="12.75"/>
  <cols>
    <col min="1" max="1" width="32.42578125" style="57" customWidth="1"/>
    <col min="2" max="2" width="11.28515625" style="57" bestFit="1" customWidth="1"/>
    <col min="3" max="3" width="9.140625" style="57"/>
    <col min="4" max="4" width="2.42578125" style="57" customWidth="1"/>
    <col min="5" max="5" width="36.28515625" style="57" customWidth="1"/>
    <col min="6" max="6" width="9.140625" style="57"/>
    <col min="7" max="7" width="12.85546875" style="57" customWidth="1"/>
    <col min="8" max="8" width="19.85546875" style="57" customWidth="1"/>
    <col min="9" max="9" width="2.85546875" style="57" customWidth="1"/>
    <col min="10" max="10" width="31.42578125" style="57" customWidth="1"/>
    <col min="11" max="11" width="12.42578125" style="57" bestFit="1" customWidth="1"/>
    <col min="12" max="12" width="9.140625" style="57"/>
    <col min="13" max="13" width="35.140625" style="57" customWidth="1"/>
    <col min="14" max="14" width="10" style="57" bestFit="1" customWidth="1"/>
    <col min="15" max="15" width="15.28515625" style="57" customWidth="1"/>
    <col min="16" max="16" width="10" style="57" bestFit="1" customWidth="1"/>
    <col min="17" max="17" width="12.42578125" style="57" bestFit="1" customWidth="1"/>
    <col min="18" max="18" width="10.7109375" style="57" customWidth="1"/>
    <col min="19" max="19" width="12" style="57" customWidth="1"/>
    <col min="20" max="20" width="26.42578125" style="57" customWidth="1"/>
    <col min="21" max="21" width="12.5703125" style="57" customWidth="1"/>
    <col min="22" max="22" width="9.140625" style="57"/>
    <col min="23" max="23" width="11.85546875" style="57" customWidth="1"/>
    <col min="24" max="25" width="12.5703125" style="57" customWidth="1"/>
    <col min="26" max="26" width="12.28515625" style="57" customWidth="1"/>
    <col min="27" max="16384" width="9.140625" style="57"/>
  </cols>
  <sheetData>
    <row r="1" spans="1:15" ht="39.75" customHeight="1">
      <c r="A1" s="305" t="s">
        <v>265</v>
      </c>
      <c r="B1" s="300"/>
      <c r="C1" s="300"/>
      <c r="D1" s="300"/>
      <c r="E1" s="300"/>
      <c r="F1" s="300"/>
      <c r="G1" s="300"/>
      <c r="H1" s="90"/>
    </row>
    <row r="2" spans="1:15">
      <c r="A2" s="68" t="s">
        <v>127</v>
      </c>
      <c r="B2" s="68" t="s">
        <v>4</v>
      </c>
      <c r="C2" s="68" t="s">
        <v>5</v>
      </c>
      <c r="D2" s="86"/>
      <c r="E2" s="68" t="s">
        <v>24</v>
      </c>
      <c r="F2" s="68" t="s">
        <v>4</v>
      </c>
      <c r="G2" s="68" t="s">
        <v>5</v>
      </c>
      <c r="H2" s="68" t="s">
        <v>57</v>
      </c>
      <c r="I2" s="86"/>
      <c r="J2" s="68" t="s">
        <v>247</v>
      </c>
      <c r="K2" s="68" t="s">
        <v>4</v>
      </c>
      <c r="L2" s="68" t="s">
        <v>5</v>
      </c>
      <c r="M2" s="68" t="s">
        <v>32</v>
      </c>
      <c r="N2" s="68" t="s">
        <v>5</v>
      </c>
      <c r="O2" s="69"/>
    </row>
    <row r="3" spans="1:15" ht="15.75">
      <c r="A3" s="56" t="s">
        <v>122</v>
      </c>
      <c r="B3" s="92">
        <v>200</v>
      </c>
      <c r="C3" s="59" t="s">
        <v>1</v>
      </c>
      <c r="D3" s="58"/>
      <c r="E3" s="71" t="s">
        <v>163</v>
      </c>
      <c r="F3" s="75">
        <f t="shared" ref="F3:F8" si="0">H3</f>
        <v>1.8100000000000001E-4</v>
      </c>
      <c r="G3" s="72" t="s">
        <v>25</v>
      </c>
      <c r="H3" s="101">
        <v>1.8100000000000001E-4</v>
      </c>
      <c r="I3" s="58"/>
      <c r="J3" s="60" t="s">
        <v>17</v>
      </c>
      <c r="K3" s="172">
        <f t="shared" ref="K3:K24" si="1">IF(ABS(N38*P38*$B$3)&gt;K72,K72,(N38*P38*$B$3))</f>
        <v>1.6787273811319413E-5</v>
      </c>
      <c r="L3" s="72" t="s">
        <v>23</v>
      </c>
      <c r="M3" s="173">
        <f t="shared" ref="M3:M24" si="2">($B$5*B11-N38*P38*$B$3-$F$8*P38)/($B$5-$F$8)</f>
        <v>1.0008056641121543</v>
      </c>
      <c r="N3" s="59" t="s">
        <v>18</v>
      </c>
    </row>
    <row r="4" spans="1:15" ht="15.75">
      <c r="A4" s="71" t="s">
        <v>130</v>
      </c>
      <c r="B4" s="93">
        <v>1</v>
      </c>
      <c r="C4" s="82" t="s">
        <v>3</v>
      </c>
      <c r="D4" s="58"/>
      <c r="E4" s="71" t="s">
        <v>27</v>
      </c>
      <c r="F4" s="75">
        <f t="shared" si="0"/>
        <v>1.1999999999999999E-3</v>
      </c>
      <c r="G4" s="72" t="s">
        <v>26</v>
      </c>
      <c r="H4" s="101">
        <v>1.1999999999999999E-3</v>
      </c>
      <c r="I4" s="58"/>
      <c r="J4" s="62" t="s">
        <v>6</v>
      </c>
      <c r="K4" s="172">
        <f t="shared" si="1"/>
        <v>1.0072144837468103E-2</v>
      </c>
      <c r="L4" s="72" t="s">
        <v>23</v>
      </c>
      <c r="M4" s="173">
        <f t="shared" si="2"/>
        <v>0.88191487206935648</v>
      </c>
      <c r="N4" s="59" t="s">
        <v>18</v>
      </c>
    </row>
    <row r="5" spans="1:15" ht="15.75">
      <c r="A5" s="56" t="s">
        <v>124</v>
      </c>
      <c r="B5" s="66">
        <v>8.7599999999999997E-2</v>
      </c>
      <c r="C5" s="59" t="s">
        <v>19</v>
      </c>
      <c r="D5" s="58"/>
      <c r="E5" s="71" t="s">
        <v>29</v>
      </c>
      <c r="F5" s="75">
        <f t="shared" si="0"/>
        <v>282</v>
      </c>
      <c r="G5" s="72" t="s">
        <v>28</v>
      </c>
      <c r="H5" s="101">
        <v>282</v>
      </c>
      <c r="I5" s="58"/>
      <c r="J5" s="62" t="s">
        <v>13</v>
      </c>
      <c r="K5" s="172">
        <f t="shared" si="1"/>
        <v>7.9059985273512157E-3</v>
      </c>
      <c r="L5" s="72" t="s">
        <v>23</v>
      </c>
      <c r="M5" s="173">
        <f t="shared" si="2"/>
        <v>0.90991810737033652</v>
      </c>
      <c r="N5" s="59" t="s">
        <v>18</v>
      </c>
    </row>
    <row r="6" spans="1:15" ht="15.75">
      <c r="A6" s="56" t="s">
        <v>56</v>
      </c>
      <c r="B6" s="274">
        <v>4.47</v>
      </c>
      <c r="C6" s="59" t="s">
        <v>0</v>
      </c>
      <c r="D6" s="58"/>
      <c r="E6" s="71" t="s">
        <v>30</v>
      </c>
      <c r="F6" s="75">
        <f t="shared" si="0"/>
        <v>29</v>
      </c>
      <c r="G6" s="72" t="s">
        <v>28</v>
      </c>
      <c r="H6" s="101">
        <v>29</v>
      </c>
      <c r="I6" s="58"/>
      <c r="J6" s="60" t="s">
        <v>69</v>
      </c>
      <c r="K6" s="172">
        <f t="shared" si="1"/>
        <v>1.6087723444096352E-4</v>
      </c>
      <c r="L6" s="72" t="s">
        <v>23</v>
      </c>
      <c r="M6" s="173">
        <f t="shared" si="2"/>
        <v>0.99909535839946972</v>
      </c>
      <c r="N6" s="59" t="s">
        <v>18</v>
      </c>
    </row>
    <row r="7" spans="1:15" ht="15.75">
      <c r="D7" s="58"/>
      <c r="E7" s="71" t="s">
        <v>31</v>
      </c>
      <c r="F7" s="75">
        <f t="shared" si="0"/>
        <v>0.92</v>
      </c>
      <c r="G7" s="72" t="s">
        <v>26</v>
      </c>
      <c r="H7" s="101">
        <v>0.92</v>
      </c>
      <c r="I7" s="58"/>
      <c r="J7" s="62" t="s">
        <v>9</v>
      </c>
      <c r="K7" s="172">
        <f t="shared" si="1"/>
        <v>1.1804307668228367E-3</v>
      </c>
      <c r="L7" s="72" t="s">
        <v>23</v>
      </c>
      <c r="M7" s="173">
        <f t="shared" si="2"/>
        <v>0.30396359536186729</v>
      </c>
      <c r="N7" s="59" t="s">
        <v>18</v>
      </c>
    </row>
    <row r="8" spans="1:15" ht="15.75">
      <c r="D8" s="58"/>
      <c r="E8" s="71" t="s">
        <v>33</v>
      </c>
      <c r="F8" s="75">
        <f t="shared" si="0"/>
        <v>8.7600000000000002E-5</v>
      </c>
      <c r="G8" s="59" t="s">
        <v>19</v>
      </c>
      <c r="H8" s="101">
        <f>0.001*B5</f>
        <v>8.7600000000000002E-5</v>
      </c>
      <c r="I8" s="58"/>
      <c r="J8" s="63" t="s">
        <v>7</v>
      </c>
      <c r="K8" s="172">
        <f t="shared" si="1"/>
        <v>3.9785567950076248E-2</v>
      </c>
      <c r="L8" s="72" t="s">
        <v>23</v>
      </c>
      <c r="M8" s="173">
        <f t="shared" si="2"/>
        <v>0.20829454007192594</v>
      </c>
      <c r="N8" s="59" t="s">
        <v>18</v>
      </c>
    </row>
    <row r="9" spans="1:15" ht="14.25">
      <c r="D9" s="58"/>
      <c r="E9" s="71" t="s">
        <v>58</v>
      </c>
      <c r="F9" s="75">
        <v>1E-3</v>
      </c>
      <c r="G9" s="59" t="s">
        <v>43</v>
      </c>
      <c r="H9" s="101">
        <v>1E-3</v>
      </c>
      <c r="I9" s="58"/>
      <c r="J9" s="62" t="s">
        <v>8</v>
      </c>
      <c r="K9" s="172">
        <f t="shared" si="1"/>
        <v>3.6771738146666601E-2</v>
      </c>
      <c r="L9" s="72" t="s">
        <v>23</v>
      </c>
      <c r="M9" s="173">
        <f t="shared" si="2"/>
        <v>0.42027679802568485</v>
      </c>
      <c r="N9" s="59" t="s">
        <v>18</v>
      </c>
    </row>
    <row r="10" spans="1:15" ht="15.75">
      <c r="A10" s="298" t="s">
        <v>102</v>
      </c>
      <c r="B10" s="308"/>
      <c r="C10" s="308"/>
      <c r="D10" s="58"/>
      <c r="E10" s="71" t="s">
        <v>94</v>
      </c>
      <c r="F10" s="75">
        <v>1</v>
      </c>
      <c r="G10" s="59" t="s">
        <v>2</v>
      </c>
      <c r="H10" s="101">
        <v>1</v>
      </c>
      <c r="I10" s="58"/>
      <c r="J10" s="62" t="s">
        <v>11</v>
      </c>
      <c r="K10" s="172">
        <f t="shared" si="1"/>
        <v>2.5159122429927606E-2</v>
      </c>
      <c r="L10" s="72" t="s">
        <v>23</v>
      </c>
      <c r="M10" s="173">
        <f t="shared" si="2"/>
        <v>0.5347697705833333</v>
      </c>
      <c r="N10" s="59" t="s">
        <v>18</v>
      </c>
    </row>
    <row r="11" spans="1:15" ht="14.25">
      <c r="A11" s="60" t="s">
        <v>17</v>
      </c>
      <c r="B11" s="67">
        <v>1</v>
      </c>
      <c r="C11" s="59" t="s">
        <v>18</v>
      </c>
      <c r="D11" s="58"/>
      <c r="I11" s="58"/>
      <c r="J11" s="63" t="s">
        <v>70</v>
      </c>
      <c r="K11" s="172">
        <f t="shared" si="1"/>
        <v>7.7995427050544137E-3</v>
      </c>
      <c r="L11" s="72" t="s">
        <v>23</v>
      </c>
      <c r="M11" s="173">
        <f t="shared" si="2"/>
        <v>0.91180666548293055</v>
      </c>
      <c r="N11" s="59" t="s">
        <v>18</v>
      </c>
    </row>
    <row r="12" spans="1:15" ht="14.25">
      <c r="A12" s="62" t="s">
        <v>6</v>
      </c>
      <c r="B12" s="67">
        <v>1</v>
      </c>
      <c r="C12" s="59" t="s">
        <v>18</v>
      </c>
      <c r="D12" s="58"/>
      <c r="E12" s="55"/>
      <c r="F12" s="184"/>
      <c r="G12" s="184"/>
      <c r="H12" s="184"/>
      <c r="I12" s="58"/>
      <c r="J12" s="63" t="s">
        <v>16</v>
      </c>
      <c r="K12" s="172">
        <f t="shared" si="1"/>
        <v>4.1904440311247581E-8</v>
      </c>
      <c r="L12" s="72" t="s">
        <v>23</v>
      </c>
      <c r="M12" s="173">
        <f t="shared" si="2"/>
        <v>1.0009918627084193</v>
      </c>
      <c r="N12" s="59" t="s">
        <v>18</v>
      </c>
    </row>
    <row r="13" spans="1:15" ht="14.25">
      <c r="A13" s="62" t="s">
        <v>13</v>
      </c>
      <c r="B13" s="67">
        <v>1</v>
      </c>
      <c r="C13" s="59" t="s">
        <v>18</v>
      </c>
      <c r="D13" s="58"/>
      <c r="I13" s="58"/>
      <c r="J13" s="60" t="s">
        <v>71</v>
      </c>
      <c r="K13" s="172">
        <f t="shared" si="1"/>
        <v>1.1292561379603744E-3</v>
      </c>
      <c r="L13" s="72" t="s">
        <v>23</v>
      </c>
      <c r="M13" s="173">
        <f t="shared" si="2"/>
        <v>0.98571874303517115</v>
      </c>
      <c r="N13" s="59" t="s">
        <v>18</v>
      </c>
    </row>
    <row r="14" spans="1:15" ht="14.25">
      <c r="A14" s="60" t="s">
        <v>69</v>
      </c>
      <c r="B14" s="67">
        <v>1</v>
      </c>
      <c r="C14" s="59" t="s">
        <v>18</v>
      </c>
      <c r="D14" s="58"/>
      <c r="I14" s="58"/>
      <c r="J14" s="62" t="s">
        <v>12</v>
      </c>
      <c r="K14" s="172">
        <f t="shared" si="1"/>
        <v>2.8247748871850446E-2</v>
      </c>
      <c r="L14" s="72" t="s">
        <v>23</v>
      </c>
      <c r="M14" s="173">
        <f t="shared" si="2"/>
        <v>0.64047494539868544</v>
      </c>
      <c r="N14" s="59" t="s">
        <v>18</v>
      </c>
    </row>
    <row r="15" spans="1:15" ht="14.25">
      <c r="A15" s="62" t="s">
        <v>9</v>
      </c>
      <c r="B15" s="67">
        <v>1</v>
      </c>
      <c r="C15" s="59" t="s">
        <v>18</v>
      </c>
      <c r="D15" s="58"/>
      <c r="I15" s="58"/>
      <c r="J15" s="62" t="s">
        <v>10</v>
      </c>
      <c r="K15" s="172">
        <f t="shared" si="1"/>
        <v>1.9015260942346305E-4</v>
      </c>
      <c r="L15" s="72" t="s">
        <v>23</v>
      </c>
      <c r="M15" s="173">
        <f t="shared" si="2"/>
        <v>0.97162890507047139</v>
      </c>
      <c r="N15" s="59" t="s">
        <v>18</v>
      </c>
    </row>
    <row r="16" spans="1:15" ht="14.25">
      <c r="A16" s="63" t="s">
        <v>7</v>
      </c>
      <c r="B16" s="67">
        <v>1</v>
      </c>
      <c r="C16" s="59" t="s">
        <v>18</v>
      </c>
      <c r="D16" s="58"/>
      <c r="I16" s="58"/>
      <c r="J16" s="63" t="s">
        <v>72</v>
      </c>
      <c r="K16" s="172">
        <f t="shared" si="1"/>
        <v>7.8653368268223528E-2</v>
      </c>
      <c r="L16" s="72" t="s">
        <v>23</v>
      </c>
      <c r="M16" s="173">
        <f t="shared" si="2"/>
        <v>9.0917356123283846E-2</v>
      </c>
      <c r="N16" s="59" t="s">
        <v>18</v>
      </c>
    </row>
    <row r="17" spans="1:15" ht="14.25">
      <c r="A17" s="62" t="s">
        <v>8</v>
      </c>
      <c r="B17" s="67">
        <v>1</v>
      </c>
      <c r="C17" s="59" t="s">
        <v>18</v>
      </c>
      <c r="D17" s="58"/>
      <c r="I17" s="58"/>
      <c r="J17" s="63" t="s">
        <v>73</v>
      </c>
      <c r="K17" s="172">
        <f t="shared" si="1"/>
        <v>6.3120438554163627E-6</v>
      </c>
      <c r="L17" s="72" t="s">
        <v>23</v>
      </c>
      <c r="M17" s="173">
        <f t="shared" si="2"/>
        <v>1</v>
      </c>
      <c r="N17" s="59" t="s">
        <v>18</v>
      </c>
    </row>
    <row r="18" spans="1:15" ht="14.25">
      <c r="A18" s="62" t="s">
        <v>11</v>
      </c>
      <c r="B18" s="67">
        <v>1</v>
      </c>
      <c r="C18" s="59" t="s">
        <v>18</v>
      </c>
      <c r="D18" s="58"/>
      <c r="I18" s="58"/>
      <c r="J18" s="64" t="s">
        <v>74</v>
      </c>
      <c r="K18" s="172">
        <f t="shared" si="1"/>
        <v>3.5535553113973876E-2</v>
      </c>
      <c r="L18" s="72" t="s">
        <v>23</v>
      </c>
      <c r="M18" s="173">
        <f t="shared" si="2"/>
        <v>0.40353360037620845</v>
      </c>
      <c r="N18" s="59" t="s">
        <v>18</v>
      </c>
    </row>
    <row r="19" spans="1:15" ht="14.25">
      <c r="A19" s="63" t="s">
        <v>70</v>
      </c>
      <c r="B19" s="67">
        <v>1</v>
      </c>
      <c r="C19" s="59" t="s">
        <v>18</v>
      </c>
      <c r="D19" s="58"/>
      <c r="I19" s="58"/>
      <c r="J19" s="63" t="s">
        <v>75</v>
      </c>
      <c r="K19" s="172">
        <f t="shared" si="1"/>
        <v>6.3705150823192168E-3</v>
      </c>
      <c r="L19" s="72" t="s">
        <v>23</v>
      </c>
      <c r="M19" s="173">
        <f t="shared" si="2"/>
        <v>0.92703996767496888</v>
      </c>
      <c r="N19" s="59" t="s">
        <v>18</v>
      </c>
    </row>
    <row r="20" spans="1:15" ht="14.25">
      <c r="A20" s="63" t="s">
        <v>16</v>
      </c>
      <c r="B20" s="67">
        <v>1</v>
      </c>
      <c r="C20" s="59" t="s">
        <v>18</v>
      </c>
      <c r="D20" s="58"/>
      <c r="I20" s="58"/>
      <c r="J20" s="64" t="s">
        <v>78</v>
      </c>
      <c r="K20" s="172">
        <f t="shared" si="1"/>
        <v>1.2938753679474493E-4</v>
      </c>
      <c r="L20" s="72" t="s">
        <v>23</v>
      </c>
      <c r="M20" s="173">
        <f t="shared" si="2"/>
        <v>0.14807357668539006</v>
      </c>
      <c r="N20" s="59" t="s">
        <v>18</v>
      </c>
    </row>
    <row r="21" spans="1:15" ht="14.25">
      <c r="A21" s="60" t="s">
        <v>71</v>
      </c>
      <c r="B21" s="67">
        <v>1</v>
      </c>
      <c r="C21" s="59" t="s">
        <v>18</v>
      </c>
      <c r="D21" s="58"/>
      <c r="I21" s="58"/>
      <c r="J21" s="65" t="s">
        <v>14</v>
      </c>
      <c r="K21" s="172">
        <f t="shared" si="1"/>
        <v>5.5080452283392471E-4</v>
      </c>
      <c r="L21" s="72" t="s">
        <v>23</v>
      </c>
      <c r="M21" s="173">
        <f t="shared" si="2"/>
        <v>0.99470551824021902</v>
      </c>
      <c r="N21" s="59" t="s">
        <v>18</v>
      </c>
    </row>
    <row r="22" spans="1:15" ht="14.25">
      <c r="A22" s="62" t="s">
        <v>12</v>
      </c>
      <c r="B22" s="67">
        <v>1</v>
      </c>
      <c r="C22" s="59" t="s">
        <v>18</v>
      </c>
      <c r="D22" s="58"/>
      <c r="I22" s="58"/>
      <c r="J22" s="65" t="s">
        <v>79</v>
      </c>
      <c r="K22" s="172">
        <f t="shared" si="1"/>
        <v>2.478566221376024E-3</v>
      </c>
      <c r="L22" s="72" t="s">
        <v>23</v>
      </c>
      <c r="M22" s="173">
        <f t="shared" si="2"/>
        <v>0.97162890507047139</v>
      </c>
      <c r="N22" s="59" t="s">
        <v>18</v>
      </c>
    </row>
    <row r="23" spans="1:15" ht="14.25">
      <c r="A23" s="62" t="s">
        <v>10</v>
      </c>
      <c r="B23" s="67">
        <v>1</v>
      </c>
      <c r="C23" s="59" t="s">
        <v>18</v>
      </c>
      <c r="D23" s="58"/>
      <c r="I23" s="58"/>
      <c r="J23" s="65" t="s">
        <v>15</v>
      </c>
      <c r="K23" s="172">
        <f t="shared" si="1"/>
        <v>2.3665794976483132E-10</v>
      </c>
      <c r="L23" s="72" t="s">
        <v>23</v>
      </c>
      <c r="M23" s="173">
        <f t="shared" si="2"/>
        <v>1.0009637744439184</v>
      </c>
      <c r="N23" s="59" t="s">
        <v>18</v>
      </c>
    </row>
    <row r="24" spans="1:15" ht="14.25">
      <c r="A24" s="63" t="s">
        <v>72</v>
      </c>
      <c r="B24" s="67">
        <v>1</v>
      </c>
      <c r="C24" s="59" t="s">
        <v>18</v>
      </c>
      <c r="D24" s="58"/>
      <c r="I24" s="58"/>
      <c r="J24" s="65" t="s">
        <v>80</v>
      </c>
      <c r="K24" s="172">
        <f t="shared" si="1"/>
        <v>8.1311831497188958E-2</v>
      </c>
      <c r="L24" s="72" t="s">
        <v>23</v>
      </c>
      <c r="M24" s="173">
        <f t="shared" si="2"/>
        <v>1.4769260390087809E-3</v>
      </c>
      <c r="N24" s="59" t="s">
        <v>18</v>
      </c>
    </row>
    <row r="25" spans="1:15" ht="14.25">
      <c r="A25" s="63" t="s">
        <v>73</v>
      </c>
      <c r="B25" s="67">
        <v>1</v>
      </c>
      <c r="C25" s="59" t="s">
        <v>18</v>
      </c>
      <c r="D25" s="58"/>
      <c r="I25" s="58"/>
      <c r="J25" s="65" t="s">
        <v>59</v>
      </c>
      <c r="K25" s="172" t="e">
        <f>IF(ABS(N60*P60*$B$3)&gt;K94,K94,(N60*P60*$B$3))</f>
        <v>#DIV/0!</v>
      </c>
      <c r="L25" s="72" t="s">
        <v>23</v>
      </c>
      <c r="M25" s="173" t="e">
        <f>($B$5*B33-N60*P60*$B$3-$F$8*P60)/($B$5-$F$8)</f>
        <v>#DIV/0!</v>
      </c>
      <c r="N25" s="59" t="s">
        <v>18</v>
      </c>
    </row>
    <row r="26" spans="1:15" ht="14.25">
      <c r="A26" s="64" t="s">
        <v>74</v>
      </c>
      <c r="B26" s="67">
        <v>1</v>
      </c>
      <c r="C26" s="59" t="s">
        <v>18</v>
      </c>
      <c r="D26" s="58"/>
      <c r="I26" s="58"/>
      <c r="J26" s="65" t="s">
        <v>60</v>
      </c>
      <c r="K26" s="172" t="e">
        <f>IF(ABS(N61*P61*$B$3)&gt;K95,K95,(N61*P61*$B$3))</f>
        <v>#DIV/0!</v>
      </c>
      <c r="L26" s="72" t="s">
        <v>23</v>
      </c>
      <c r="M26" s="173" t="e">
        <f>($B$5*B34-N61*P61*$B$3-$F$8*P61)/($B$5-$F$8)</f>
        <v>#DIV/0!</v>
      </c>
      <c r="N26" s="59" t="s">
        <v>18</v>
      </c>
    </row>
    <row r="27" spans="1:15" ht="14.25">
      <c r="A27" s="63" t="s">
        <v>75</v>
      </c>
      <c r="B27" s="67">
        <v>1</v>
      </c>
      <c r="C27" s="59" t="s">
        <v>18</v>
      </c>
      <c r="D27" s="58"/>
      <c r="I27" s="58"/>
      <c r="J27" s="65" t="s">
        <v>61</v>
      </c>
      <c r="K27" s="172" t="e">
        <f>IF(ABS(N62*P62*$B$3)&gt;K96,K96,(N62*P62*$B$3))</f>
        <v>#DIV/0!</v>
      </c>
      <c r="L27" s="72" t="s">
        <v>23</v>
      </c>
      <c r="M27" s="173" t="e">
        <f>($B$5*B35-N62*P62*$B$3-$F$8*P62)/($B$5-$F$8)</f>
        <v>#DIV/0!</v>
      </c>
      <c r="N27" s="59" t="s">
        <v>18</v>
      </c>
    </row>
    <row r="28" spans="1:15" ht="14.25">
      <c r="A28" s="64" t="s">
        <v>78</v>
      </c>
      <c r="B28" s="67">
        <v>1</v>
      </c>
      <c r="C28" s="59" t="s">
        <v>18</v>
      </c>
      <c r="D28" s="58"/>
      <c r="I28" s="58"/>
      <c r="J28" s="65" t="s">
        <v>256</v>
      </c>
      <c r="K28" s="172">
        <f>IF(ABS(N63*P63*$B$3)&gt;K97,K97,(N63*P63*$B$3))</f>
        <v>3.8240206348120857E-2</v>
      </c>
      <c r="L28" s="72" t="s">
        <v>23</v>
      </c>
      <c r="M28" s="173">
        <f>($B$5*B36-N63*P63*$B$3-$F$8*P63)/($B$5-$F$8)</f>
        <v>0.5633018584472137</v>
      </c>
      <c r="N28" s="59" t="s">
        <v>18</v>
      </c>
    </row>
    <row r="29" spans="1:15" ht="14.25">
      <c r="A29" s="65" t="s">
        <v>14</v>
      </c>
      <c r="B29" s="67">
        <v>1</v>
      </c>
      <c r="C29" s="59" t="s">
        <v>18</v>
      </c>
      <c r="D29" s="58"/>
      <c r="H29" s="55"/>
      <c r="I29" s="58"/>
      <c r="O29" s="55"/>
    </row>
    <row r="30" spans="1:15" ht="14.25">
      <c r="A30" s="65" t="s">
        <v>79</v>
      </c>
      <c r="B30" s="67">
        <v>1</v>
      </c>
      <c r="C30" s="59" t="s">
        <v>18</v>
      </c>
      <c r="D30" s="58"/>
      <c r="H30" s="55"/>
      <c r="I30" s="58"/>
      <c r="J30" s="212"/>
      <c r="K30" s="89"/>
      <c r="L30" s="89"/>
      <c r="M30" s="230"/>
      <c r="N30" s="185"/>
      <c r="O30" s="55"/>
    </row>
    <row r="31" spans="1:15" ht="14.25">
      <c r="A31" s="65" t="s">
        <v>15</v>
      </c>
      <c r="B31" s="67">
        <v>1</v>
      </c>
      <c r="C31" s="59" t="s">
        <v>18</v>
      </c>
      <c r="D31" s="58"/>
      <c r="H31" s="55"/>
      <c r="I31" s="55"/>
      <c r="J31" s="55"/>
      <c r="K31" s="55"/>
      <c r="L31" s="80"/>
      <c r="M31" s="55"/>
      <c r="N31" s="79"/>
      <c r="O31" s="55"/>
    </row>
    <row r="32" spans="1:15" ht="14.25">
      <c r="A32" s="65" t="s">
        <v>80</v>
      </c>
      <c r="B32" s="67">
        <v>1</v>
      </c>
      <c r="C32" s="59" t="s">
        <v>18</v>
      </c>
      <c r="D32" s="58"/>
      <c r="H32" s="55"/>
      <c r="I32" s="55"/>
      <c r="J32" s="55"/>
      <c r="K32" s="55"/>
      <c r="L32" s="80"/>
      <c r="M32" s="55"/>
      <c r="N32" s="79"/>
      <c r="O32" s="55"/>
    </row>
    <row r="33" spans="1:16" ht="14.25">
      <c r="A33" s="65" t="s">
        <v>59</v>
      </c>
      <c r="B33" s="67">
        <v>1</v>
      </c>
      <c r="C33" s="59" t="s">
        <v>18</v>
      </c>
      <c r="D33" s="58"/>
      <c r="H33" s="55"/>
      <c r="I33" s="55"/>
      <c r="J33" s="55"/>
      <c r="K33" s="55"/>
      <c r="L33" s="80"/>
      <c r="M33" s="55"/>
      <c r="N33" s="79"/>
      <c r="O33" s="55"/>
    </row>
    <row r="34" spans="1:16" ht="15.75">
      <c r="A34" s="65" t="s">
        <v>60</v>
      </c>
      <c r="B34" s="67">
        <v>1</v>
      </c>
      <c r="C34" s="59" t="s">
        <v>18</v>
      </c>
      <c r="D34" s="58"/>
      <c r="H34" s="55"/>
      <c r="I34" s="55"/>
      <c r="J34" s="56" t="s">
        <v>56</v>
      </c>
      <c r="K34" s="273">
        <f>IF(B6&lt;minWindSpd,minWindSpd,B6)</f>
        <v>4.47</v>
      </c>
      <c r="L34" s="59" t="s">
        <v>0</v>
      </c>
      <c r="M34" s="55"/>
      <c r="N34" s="79"/>
      <c r="O34" s="55"/>
    </row>
    <row r="35" spans="1:16" ht="14.25">
      <c r="A35" s="65" t="s">
        <v>61</v>
      </c>
      <c r="B35" s="67">
        <v>1</v>
      </c>
      <c r="C35" s="59" t="s">
        <v>18</v>
      </c>
      <c r="D35" s="58"/>
      <c r="H35" s="55"/>
      <c r="I35" s="55"/>
      <c r="J35" s="272" t="str">
        <f>IF(B6&lt;minWindSpd,CONCATENATE("Windspeed has been set at ",TEXT(minWindSpd,"0.##")," m/s, which is the minimum windspeed for the mass transfer calculations"),"")</f>
        <v/>
      </c>
      <c r="K35" s="89"/>
      <c r="L35" s="89"/>
      <c r="M35" s="55"/>
      <c r="N35" s="79"/>
      <c r="O35" s="55"/>
    </row>
    <row r="36" spans="1:16" ht="14.25">
      <c r="A36" s="65" t="s">
        <v>256</v>
      </c>
      <c r="B36" s="67">
        <v>1</v>
      </c>
      <c r="C36" s="59" t="s">
        <v>18</v>
      </c>
      <c r="D36" s="58"/>
      <c r="H36" s="55"/>
      <c r="I36" s="55"/>
      <c r="J36" s="211"/>
      <c r="K36" s="89"/>
      <c r="L36" s="89"/>
      <c r="M36" s="55"/>
      <c r="N36" s="79"/>
      <c r="O36" s="55"/>
    </row>
    <row r="37" spans="1:16" ht="15">
      <c r="D37" s="58"/>
      <c r="E37" s="55"/>
      <c r="H37" s="55"/>
      <c r="I37" s="55"/>
      <c r="J37" s="83" t="s">
        <v>21</v>
      </c>
      <c r="K37" s="83" t="s">
        <v>103</v>
      </c>
      <c r="L37" s="83" t="s">
        <v>113</v>
      </c>
      <c r="M37" s="118" t="s">
        <v>114</v>
      </c>
      <c r="N37" s="83" t="s">
        <v>115</v>
      </c>
      <c r="O37" s="83" t="s">
        <v>116</v>
      </c>
      <c r="P37" s="94" t="s">
        <v>117</v>
      </c>
    </row>
    <row r="38" spans="1:16">
      <c r="A38" s="212"/>
      <c r="B38" s="213"/>
      <c r="C38" s="185"/>
      <c r="D38" s="58"/>
      <c r="E38" s="55"/>
      <c r="J38" s="60" t="s">
        <v>17</v>
      </c>
      <c r="K38" s="105">
        <f>$F$3/($F$4*IF(ABS('Chemical Properties'!G41)&gt;0,'Chemical Properties'!G41,'Chemical Properties'!G4))</f>
        <v>1.0055555555555558</v>
      </c>
      <c r="L38" s="105">
        <f t="shared" ref="L38:L63" si="3">4.82*10^(-3)*$K$34^(0.78)*K38^(-0.67)*((2*($B$3/3.14)^(0.5))^(-0.11))</f>
        <v>1.1385078276662672E-2</v>
      </c>
      <c r="M38" s="257">
        <f>(IF(ABS('Chemical Properties'!D41)&gt;0,'Chemical Properties'!D41,'Chemical Properties'!D4)/760*$F$4*$F$5)/($F$7*$F$6*$B$4)</f>
        <v>2.1028170125463579E-3</v>
      </c>
      <c r="N38" s="105">
        <f>L38*M38</f>
        <v>2.3940736289338236E-5</v>
      </c>
      <c r="O38" s="105">
        <f>IF($F$10&gt;=1,10^IF(ABS('Chemical Properties'!H41)&gt;0,'Chemical Properties'!H41,'Chemical Properties'!H4)*'Oil-Water Separators'!B11/(1-'Oil-Water Separators'!$F$9+'Oil-Water Separators'!$F$9*10^IF(ABS('Chemical Properties'!H41)&gt;0,'Chemical Properties'!H41,'Chemical Properties'!H4)),'Oil-Water Separators'!B11/'Oil-Water Separators'!$F$9)</f>
        <v>0.19514155195763483</v>
      </c>
      <c r="P38" s="105">
        <f t="shared" ref="P38:P59" si="4">($F$8*O38)/(N38*$B$3+$F$8)</f>
        <v>3.5060061663173357E-3</v>
      </c>
    </row>
    <row r="39" spans="1:16">
      <c r="A39" s="55"/>
      <c r="B39" s="80"/>
      <c r="C39" s="79"/>
      <c r="D39" s="55"/>
      <c r="E39" s="55"/>
      <c r="J39" s="62" t="s">
        <v>6</v>
      </c>
      <c r="K39" s="105">
        <f>$F$3/($F$4*IF(ABS('Chemical Properties'!G42)&gt;0,'Chemical Properties'!G42,'Chemical Properties'!G5))</f>
        <v>1.714015151515152</v>
      </c>
      <c r="L39" s="105">
        <f t="shared" si="3"/>
        <v>7.9644954348768848E-3</v>
      </c>
      <c r="M39" s="257">
        <f>(IF(ABS('Chemical Properties'!D42)&gt;0,'Chemical Properties'!D42,'Chemical Properties'!D5)/760*$F$4*$F$5)/($F$7*$F$6*$B$4)</f>
        <v>1.5854572713643177E-3</v>
      </c>
      <c r="N39" s="105">
        <f t="shared" ref="N39:N59" si="5">L39*M39</f>
        <v>1.2627367199973471E-5</v>
      </c>
      <c r="O39" s="105">
        <f>IF($F$10&gt;=1,10^IF(ABS('Chemical Properties'!H42)&gt;0,'Chemical Properties'!H42,'Chemical Properties'!H5)*'Oil-Water Separators'!B12/(1-'Oil-Water Separators'!$F$9+'Oil-Water Separators'!$F$9*10^IF(ABS('Chemical Properties'!H42)&gt;0,'Chemical Properties'!H42,'Chemical Properties'!H5)),'Oil-Water Separators'!B12/'Oil-Water Separators'!$F$9)</f>
        <v>118.96704280271285</v>
      </c>
      <c r="P39" s="105">
        <f t="shared" si="4"/>
        <v>3.9882204571865403</v>
      </c>
    </row>
    <row r="40" spans="1:16">
      <c r="A40" s="55"/>
      <c r="B40" s="80"/>
      <c r="C40" s="79"/>
      <c r="D40" s="55"/>
      <c r="E40" s="55"/>
      <c r="J40" s="62" t="s">
        <v>13</v>
      </c>
      <c r="K40" s="105">
        <f>$F$3/($F$4*IF(ABS('Chemical Properties'!G43)&gt;0,'Chemical Properties'!G43,'Chemical Properties'!G6))</f>
        <v>1.4503205128205132</v>
      </c>
      <c r="L40" s="105">
        <f t="shared" si="3"/>
        <v>8.9077334846236738E-3</v>
      </c>
      <c r="M40" s="257">
        <f>(IF(ABS('Chemical Properties'!D43)&gt;0,'Chemical Properties'!D43,'Chemical Properties'!D6)/760*$F$4*$F$5)/($F$7*$F$6*$B$4)</f>
        <v>5.991359583366212E-3</v>
      </c>
      <c r="N40" s="105">
        <f t="shared" si="5"/>
        <v>5.3369434379172148E-5</v>
      </c>
      <c r="O40" s="105">
        <f>IF($F$10&gt;=1,10^IF(ABS('Chemical Properties'!H43)&gt;0,'Chemical Properties'!H43,'Chemical Properties'!H6)*'Oil-Water Separators'!B13/(1-'Oil-Water Separators'!$F$9+'Oil-Water Separators'!$F$9*10^IF(ABS('Chemical Properties'!H43)&gt;0,'Chemical Properties'!H43,'Chemical Properties'!H6)),'Oil-Water Separators'!B13/'Oil-Water Separators'!$F$9)</f>
        <v>90.991810737033674</v>
      </c>
      <c r="P40" s="105">
        <f t="shared" si="4"/>
        <v>0.74068599558145165</v>
      </c>
    </row>
    <row r="41" spans="1:16">
      <c r="A41" s="55"/>
      <c r="B41" s="55"/>
      <c r="C41" s="79"/>
      <c r="D41" s="55"/>
      <c r="E41" s="55"/>
      <c r="J41" s="60" t="s">
        <v>69</v>
      </c>
      <c r="K41" s="105">
        <f>$F$3/($F$4*IF(ABS('Chemical Properties'!G44)&gt;0,'Chemical Properties'!G44,'Chemical Properties'!G7))</f>
        <v>1.866749174917492</v>
      </c>
      <c r="L41" s="105">
        <f t="shared" si="3"/>
        <v>7.521777613274481E-3</v>
      </c>
      <c r="M41" s="257">
        <f>(IF(ABS('Chemical Properties'!D44)&gt;0,'Chemical Properties'!D44,'Chemical Properties'!D7)/760*$F$4*$F$5)/($F$7*$F$6*$B$4)</f>
        <v>1.590463978537047E-3</v>
      </c>
      <c r="N41" s="105">
        <f t="shared" si="5"/>
        <v>1.1963116348479425E-5</v>
      </c>
      <c r="O41" s="105">
        <f>IF($F$10&gt;=1,10^IF(ABS('Chemical Properties'!H44)&gt;0,'Chemical Properties'!H44,'Chemical Properties'!H7)*'Oil-Water Separators'!B14/(1-'Oil-Water Separators'!$F$9+'Oil-Water Separators'!$F$9*10^IF(ABS('Chemical Properties'!H44)&gt;0,'Chemical Properties'!H44,'Chemical Properties'!H7)),'Oil-Water Separators'!B14/'Oil-Water Separators'!$F$9)</f>
        <v>1.9037369589296018</v>
      </c>
      <c r="P41" s="105">
        <f t="shared" si="4"/>
        <v>6.7238848872940973E-2</v>
      </c>
    </row>
    <row r="42" spans="1:16">
      <c r="A42" s="55"/>
      <c r="B42" s="55"/>
      <c r="C42" s="79"/>
      <c r="D42" s="55"/>
      <c r="E42" s="55"/>
      <c r="J42" s="62" t="s">
        <v>9</v>
      </c>
      <c r="K42" s="105">
        <f>$F$3/($F$4*IF(ABS('Chemical Properties'!G45)&gt;0,'Chemical Properties'!G45,'Chemical Properties'!G8))</f>
        <v>2.5564971751412435</v>
      </c>
      <c r="L42" s="105">
        <f t="shared" si="3"/>
        <v>6.0929234968854643E-3</v>
      </c>
      <c r="M42" s="257">
        <f>(IF(ABS('Chemical Properties'!D45)&gt;0,'Chemical Properties'!D45,'Chemical Properties'!D8)/760*$F$4*$F$5)/($F$7*$F$6*$B$4)</f>
        <v>1.4185670322733372E-6</v>
      </c>
      <c r="N42" s="105">
        <f t="shared" si="5"/>
        <v>8.643220402845297E-9</v>
      </c>
      <c r="O42" s="105">
        <f>IF($F$10&gt;=1,10^IF(ABS('Chemical Properties'!H45)&gt;0,'Chemical Properties'!H45,'Chemical Properties'!H8)*'Oil-Water Separators'!B15/(1-'Oil-Water Separators'!$F$9+'Oil-Water Separators'!$F$9*10^IF(ABS('Chemical Properties'!H45)&gt;0,'Chemical Properties'!H45,'Chemical Properties'!H8)),'Oil-Water Separators'!B15/'Oil-Water Separators'!$F$9)</f>
        <v>696.34036823349459</v>
      </c>
      <c r="P42" s="105">
        <f t="shared" si="4"/>
        <v>682.86513116930689</v>
      </c>
    </row>
    <row r="43" spans="1:16">
      <c r="A43" s="55"/>
      <c r="B43" s="55"/>
      <c r="C43" s="79"/>
      <c r="D43" s="55"/>
      <c r="E43" s="55"/>
      <c r="J43" s="63" t="s">
        <v>7</v>
      </c>
      <c r="K43" s="105">
        <f>$F$3/($F$4*IF(ABS('Chemical Properties'!G46)&gt;0,'Chemical Properties'!G46,'Chemical Properties'!G9))</f>
        <v>1.7538759689922483</v>
      </c>
      <c r="L43" s="105">
        <f t="shared" si="3"/>
        <v>7.8427584560049057E-3</v>
      </c>
      <c r="M43" s="257">
        <f>(IF(ABS('Chemical Properties'!D46)&gt;0,'Chemical Properties'!D46,'Chemical Properties'!D9)/760*$F$4*$F$5)/($F$7*$F$6*$B$4)</f>
        <v>7.5100607590941382E-5</v>
      </c>
      <c r="N43" s="105">
        <f t="shared" si="5"/>
        <v>5.8899592523496179E-7</v>
      </c>
      <c r="O43" s="105">
        <f>IF($F$10&gt;=1,10^IF(ABS('Chemical Properties'!H46)&gt;0,'Chemical Properties'!H46,'Chemical Properties'!H9)*'Oil-Water Separators'!B16/(1-'Oil-Water Separators'!$F$9+'Oil-Water Separators'!$F$9*10^IF(ABS('Chemical Properties'!H46)&gt;0,'Chemical Properties'!H46,'Chemical Properties'!H9)),'Oil-Water Separators'!B16/'Oil-Water Separators'!$F$9)</f>
        <v>791.91375446814595</v>
      </c>
      <c r="P43" s="105">
        <f t="shared" si="4"/>
        <v>337.74060435312026</v>
      </c>
    </row>
    <row r="44" spans="1:16">
      <c r="A44" s="55"/>
      <c r="B44" s="55"/>
      <c r="C44" s="79"/>
      <c r="D44" s="55"/>
      <c r="E44" s="55"/>
      <c r="J44" s="62" t="s">
        <v>8</v>
      </c>
      <c r="K44" s="105">
        <f>$F$3/($F$4*IF(ABS('Chemical Properties'!G47)&gt;0,'Chemical Properties'!G47,'Chemical Properties'!G10))</f>
        <v>2.0111111111111115</v>
      </c>
      <c r="L44" s="105">
        <f t="shared" si="3"/>
        <v>7.1555978318714533E-3</v>
      </c>
      <c r="M44" s="257">
        <f>(IF(ABS('Chemical Properties'!D47)&gt;0,'Chemical Properties'!D47,'Chemical Properties'!D10)/760*$F$4*$F$5)/($F$7*$F$6*$B$4)</f>
        <v>1.6021462952734157E-4</v>
      </c>
      <c r="N44" s="105">
        <f t="shared" si="5"/>
        <v>1.1464314556799335E-6</v>
      </c>
      <c r="O44" s="105">
        <f>IF($F$10&gt;=1,10^IF(ABS('Chemical Properties'!H47)&gt;0,'Chemical Properties'!H47,'Chemical Properties'!H10)*'Oil-Water Separators'!B17/(1-'Oil-Water Separators'!$F$9+'Oil-Water Separators'!$F$9*10^IF(ABS('Chemical Properties'!H47)&gt;0,'Chemical Properties'!H47,'Chemical Properties'!H10)),'Oil-Water Separators'!B17/'Oil-Water Separators'!$F$9)</f>
        <v>580.14347877234081</v>
      </c>
      <c r="P44" s="105">
        <f t="shared" si="4"/>
        <v>160.37477846792754</v>
      </c>
    </row>
    <row r="45" spans="1:16">
      <c r="A45" s="55"/>
      <c r="B45" s="55"/>
      <c r="C45" s="79"/>
      <c r="J45" s="62" t="s">
        <v>11</v>
      </c>
      <c r="K45" s="105">
        <f>$F$3/($F$4*IF(ABS('Chemical Properties'!G48)&gt;0,'Chemical Properties'!G48,'Chemical Properties'!G11))</f>
        <v>2.1244131455399065</v>
      </c>
      <c r="L45" s="105">
        <f t="shared" si="3"/>
        <v>6.8975994514687191E-3</v>
      </c>
      <c r="M45" s="257">
        <f>(IF(ABS('Chemical Properties'!D48)&gt;0,'Chemical Properties'!D48,'Chemical Properties'!D11)/760*$F$4*$F$5)/($F$7*$F$6*$B$4)</f>
        <v>1.0213682632368027E-4</v>
      </c>
      <c r="N45" s="105">
        <f t="shared" si="5"/>
        <v>7.0449891722497288E-7</v>
      </c>
      <c r="O45" s="105">
        <f>IF($F$10&gt;=1,10^IF(ABS('Chemical Properties'!H48)&gt;0,'Chemical Properties'!H48,'Chemical Properties'!H11)*'Oil-Water Separators'!B18/(1-'Oil-Water Separators'!$F$9+'Oil-Water Separators'!$F$9*10^IF(ABS('Chemical Properties'!H48)&gt;0,'Chemical Properties'!H48,'Chemical Properties'!H11)),'Oil-Water Separators'!B18/'Oil-Water Separators'!$F$9)</f>
        <v>465.76499918724988</v>
      </c>
      <c r="P45" s="105">
        <f t="shared" si="4"/>
        <v>178.56040523830467</v>
      </c>
    </row>
    <row r="46" spans="1:16">
      <c r="A46" s="55"/>
      <c r="B46" s="55"/>
      <c r="C46" s="79"/>
      <c r="H46" s="55"/>
      <c r="I46" s="55"/>
      <c r="J46" s="63" t="s">
        <v>70</v>
      </c>
      <c r="K46" s="105">
        <f>$F$3/($F$4*IF(ABS('Chemical Properties'!G49)&gt;0,'Chemical Properties'!G49,'Chemical Properties'!G12))</f>
        <v>0.60575635876840694</v>
      </c>
      <c r="L46" s="105">
        <f t="shared" si="3"/>
        <v>1.5988526455941673E-2</v>
      </c>
      <c r="M46" s="257">
        <f>(IF(ABS('Chemical Properties'!D49)&gt;0,'Chemical Properties'!D49,'Chemical Properties'!D12)/760*$F$4*$F$5)/($F$7*$F$6*$B$4)</f>
        <v>3.5213840448196948E-2</v>
      </c>
      <c r="N46" s="105">
        <f t="shared" si="5"/>
        <v>5.6301741962130588E-4</v>
      </c>
      <c r="O46" s="105">
        <f>IF($F$10&gt;=1,10^IF(ABS('Chemical Properties'!H49)&gt;0,'Chemical Properties'!H49,'Chemical Properties'!H12)*'Oil-Water Separators'!B19/(1-'Oil-Water Separators'!$F$9+'Oil-Water Separators'!$F$9*10^IF(ABS('Chemical Properties'!H49)&gt;0,'Chemical Properties'!H49,'Chemical Properties'!H12)),'Oil-Water Separators'!B19/'Oil-Water Separators'!$F$9)</f>
        <v>89.105141182552401</v>
      </c>
      <c r="P46" s="105">
        <f t="shared" si="4"/>
        <v>6.9265554077354352E-2</v>
      </c>
    </row>
    <row r="47" spans="1:16">
      <c r="H47" s="55"/>
      <c r="I47" s="55"/>
      <c r="J47" s="63" t="s">
        <v>16</v>
      </c>
      <c r="K47" s="105">
        <f>$F$3/($F$4*IF(ABS('Chemical Properties'!G50)&gt;0,'Chemical Properties'!G50,'Chemical Properties'!G13))</f>
        <v>0.98829984034316398</v>
      </c>
      <c r="L47" s="105">
        <f t="shared" si="3"/>
        <v>1.1517882447065211E-2</v>
      </c>
      <c r="M47" s="257">
        <f>(IF(ABS('Chemical Properties'!D50)&gt;0,'Chemical Properties'!D50,'Chemical Properties'!D13)/760*$F$4*$F$5)/($F$7*$F$6*$B$4)</f>
        <v>2.1028170125463582E-6</v>
      </c>
      <c r="N47" s="105">
        <f t="shared" si="5"/>
        <v>2.4219999158197807E-8</v>
      </c>
      <c r="O47" s="105">
        <f>IF($F$10&gt;=1,10^IF(ABS('Chemical Properties'!H50)&gt;0,'Chemical Properties'!H50,'Chemical Properties'!H13)*'Oil-Water Separators'!B20/(1-'Oil-Water Separators'!$F$9+'Oil-Water Separators'!$F$9*10^IF(ABS('Chemical Properties'!H50)&gt;0,'Chemical Properties'!H50,'Chemical Properties'!H13)),'Oil-Water Separators'!B20/'Oil-Water Separators'!$F$9)</f>
        <v>9.1291542889714028E-3</v>
      </c>
      <c r="P47" s="105">
        <f t="shared" si="4"/>
        <v>8.6507930982037372E-3</v>
      </c>
    </row>
    <row r="48" spans="1:16">
      <c r="H48" s="55"/>
      <c r="I48" s="55"/>
      <c r="J48" s="60" t="s">
        <v>71</v>
      </c>
      <c r="K48" s="105">
        <f>$F$3/($F$4*IF(ABS('Chemical Properties'!G51)&gt;0,'Chemical Properties'!G51,'Chemical Properties'!G14))</f>
        <v>2.0111111111111115</v>
      </c>
      <c r="L48" s="105">
        <f t="shared" si="3"/>
        <v>7.1555978318714533E-3</v>
      </c>
      <c r="M48" s="257">
        <f>(IF(ABS('Chemical Properties'!D51)&gt;0,'Chemical Properties'!D51,'Chemical Properties'!D14)/760*$F$4*$F$5)/($F$7*$F$6*$B$4)</f>
        <v>3.3211157579105178E-4</v>
      </c>
      <c r="N48" s="105">
        <f t="shared" si="5"/>
        <v>2.376456871669862E-6</v>
      </c>
      <c r="O48" s="105">
        <f>IF($F$10&gt;=1,10^IF(ABS('Chemical Properties'!H51)&gt;0,'Chemical Properties'!H51,'Chemical Properties'!H14)*'Oil-Water Separators'!B21/(1-'Oil-Water Separators'!$F$9+'Oil-Water Separators'!$F$9*10^IF(ABS('Chemical Properties'!H51)&gt;0,'Chemical Properties'!H51,'Chemical Properties'!H14)),'Oil-Water Separators'!B21/'Oil-Water Separators'!$F$9)</f>
        <v>15.266975707863953</v>
      </c>
      <c r="P48" s="105">
        <f t="shared" si="4"/>
        <v>2.3759239046633347</v>
      </c>
    </row>
    <row r="49" spans="8:16">
      <c r="H49" s="55"/>
      <c r="I49" s="55"/>
      <c r="J49" s="62" t="s">
        <v>12</v>
      </c>
      <c r="K49" s="105">
        <f>$F$3/($F$4*IF(ABS('Chemical Properties'!G52)&gt;0,'Chemical Properties'!G52,'Chemical Properties'!G15))</f>
        <v>1.7337164750957856</v>
      </c>
      <c r="L49" s="105">
        <f t="shared" si="3"/>
        <v>7.9037423885026121E-3</v>
      </c>
      <c r="M49" s="257">
        <f>(IF(ABS('Chemical Properties'!D52)&gt;0,'Chemical Properties'!D52,'Chemical Properties'!D15)/760*$F$4*$F$5)/($F$7*$F$6*$B$4)</f>
        <v>4.7396827901838556E-4</v>
      </c>
      <c r="N49" s="105">
        <f t="shared" si="5"/>
        <v>3.746123177683247E-6</v>
      </c>
      <c r="O49" s="105">
        <f>IF($F$10&gt;=1,10^IF(ABS('Chemical Properties'!H52)&gt;0,'Chemical Properties'!H52,'Chemical Properties'!H15)*'Oil-Water Separators'!B22/(1-'Oil-Water Separators'!$F$9+'Oil-Water Separators'!$F$9*10^IF(ABS('Chemical Properties'!H52)&gt;0,'Chemical Properties'!H52,'Chemical Properties'!H15)),'Oil-Water Separators'!B22/'Oil-Water Separators'!$F$9)</f>
        <v>360.16552954671329</v>
      </c>
      <c r="P49" s="105">
        <f t="shared" si="4"/>
        <v>37.70264288175381</v>
      </c>
    </row>
    <row r="50" spans="8:16">
      <c r="H50" s="55"/>
      <c r="I50" s="55"/>
      <c r="J50" s="62" t="s">
        <v>10</v>
      </c>
      <c r="K50" s="105">
        <f>$F$3/($F$4*IF(ABS('Chemical Properties'!G53)&gt;0,'Chemical Properties'!G53,'Chemical Properties'!G16))</f>
        <v>1.8394308943089432</v>
      </c>
      <c r="L50" s="105">
        <f t="shared" si="3"/>
        <v>7.5964408131146991E-3</v>
      </c>
      <c r="M50" s="257">
        <f>(IF(ABS('Chemical Properties'!D53)&gt;0,'Chemical Properties'!D53,'Chemical Properties'!D16)/760*$F$4*$F$5)/($F$7*$F$6*$B$4)</f>
        <v>4.6061705989110707E-6</v>
      </c>
      <c r="N50" s="105">
        <f t="shared" si="5"/>
        <v>3.4990502329737034E-8</v>
      </c>
      <c r="O50" s="105">
        <f>IF($F$10&gt;=1,10^IF(ABS('Chemical Properties'!H53)&gt;0,'Chemical Properties'!H53,'Chemical Properties'!H16)*'Oil-Water Separators'!B23/(1-'Oil-Water Separators'!$F$9+'Oil-Water Separators'!$F$9*10^IF(ABS('Chemical Properties'!H53)&gt;0,'Chemical Properties'!H53,'Chemical Properties'!H16)),'Oil-Water Separators'!B23/'Oil-Water Separators'!$F$9)</f>
        <v>29.342723834598978</v>
      </c>
      <c r="P50" s="105">
        <f t="shared" si="4"/>
        <v>27.172031946203287</v>
      </c>
    </row>
    <row r="51" spans="8:16">
      <c r="H51" s="55"/>
      <c r="I51" s="55"/>
      <c r="J51" s="63" t="s">
        <v>72</v>
      </c>
      <c r="K51" s="105">
        <f>$F$3/($F$4*IF(ABS('Chemical Properties'!G54)&gt;0,'Chemical Properties'!G54,'Chemical Properties'!G17))</f>
        <v>0.75416666666666676</v>
      </c>
      <c r="L51" s="105">
        <f t="shared" si="3"/>
        <v>1.3805272210683802E-2</v>
      </c>
      <c r="M51" s="257">
        <f>(IF(ABS('Chemical Properties'!D54)&gt;0,'Chemical Properties'!D54,'Chemical Properties'!D17)/760*$F$4*$F$5)/($F$7*$F$6*$B$4)</f>
        <v>2.5200426102738103E-3</v>
      </c>
      <c r="N51" s="105">
        <f t="shared" si="5"/>
        <v>3.4789874217352103E-5</v>
      </c>
      <c r="O51" s="105">
        <f>IF($F$10&gt;=1,10^IF(ABS('Chemical Properties'!H54)&gt;0,'Chemical Properties'!H54,'Chemical Properties'!H17)*'Oil-Water Separators'!B24/(1-'Oil-Water Separators'!$F$9+'Oil-Water Separators'!$F$9*10^IF(ABS('Chemical Properties'!H54)&gt;0,'Chemical Properties'!H54,'Chemical Properties'!H17)),'Oil-Water Separators'!B24/'Oil-Water Separators'!$F$9)</f>
        <v>909.17356123283935</v>
      </c>
      <c r="P51" s="105">
        <f t="shared" si="4"/>
        <v>11.304060454032006</v>
      </c>
    </row>
    <row r="52" spans="8:16">
      <c r="H52" s="55"/>
      <c r="I52" s="55"/>
      <c r="J52" s="63" t="s">
        <v>73</v>
      </c>
      <c r="K52" s="105">
        <f>$F$3/($F$4*IF(ABS('Chemical Properties'!G55)&gt;0,'Chemical Properties'!G55,'Chemical Properties'!G18))</f>
        <v>2.1733909702209413</v>
      </c>
      <c r="L52" s="105">
        <f t="shared" si="3"/>
        <v>6.7930642545605329E-3</v>
      </c>
      <c r="M52" s="257">
        <f>(IF(ABS('Chemical Properties'!D55)&gt;0,'Chemical Properties'!D55,'Chemical Properties'!D18)/760*$F$4*$F$5)/($F$7*$F$6*$B$4)</f>
        <v>5.0067071727294242E-6</v>
      </c>
      <c r="N52" s="105">
        <f t="shared" si="5"/>
        <v>3.4010883528120078E-8</v>
      </c>
      <c r="O52" s="105">
        <f>IF($F$10&gt;=1,10^IF(ABS('Chemical Properties'!H55)&gt;0,'Chemical Properties'!H55,'Chemical Properties'!H18)*'Oil-Water Separators'!B25/(1-'Oil-Water Separators'!$F$9+'Oil-Water Separators'!$F$9*10^IF(ABS('Chemical Properties'!H55)&gt;0,'Chemical Properties'!H55,'Chemical Properties'!H18)),'Oil-Water Separators'!B25/'Oil-Water Separators'!$F$9)</f>
        <v>1</v>
      </c>
      <c r="P52" s="105">
        <f t="shared" si="4"/>
        <v>0.92794470484684521</v>
      </c>
    </row>
    <row r="53" spans="8:16">
      <c r="H53" s="55"/>
      <c r="I53" s="55"/>
      <c r="J53" s="64" t="s">
        <v>74</v>
      </c>
      <c r="K53" s="105">
        <f>$F$3/($F$4*IF(ABS('Chemical Properties'!G56)&gt;0,'Chemical Properties'!G56,'Chemical Properties'!G19))</f>
        <v>2.1125116713352012</v>
      </c>
      <c r="L53" s="105">
        <f t="shared" si="3"/>
        <v>6.9236113184301586E-3</v>
      </c>
      <c r="M53" s="257">
        <f>(IF(ABS('Chemical Properties'!D56)&gt;0,'Chemical Properties'!D56,'Chemical Properties'!D19)/760*$F$4*$F$5)/($F$7*$F$6*$B$4)</f>
        <v>1.3420946306881408E-4</v>
      </c>
      <c r="N53" s="105">
        <f t="shared" si="5"/>
        <v>9.2921415754367555E-7</v>
      </c>
      <c r="O53" s="105">
        <f>IF($F$10&gt;=1,10^IF(ABS('Chemical Properties'!H56)&gt;0,'Chemical Properties'!H56,'Chemical Properties'!H19)*'Oil-Water Separators'!B26/(1-'Oil-Water Separators'!$F$9+'Oil-Water Separators'!$F$9*10^IF(ABS('Chemical Properties'!H56)&gt;0,'Chemical Properties'!H56,'Chemical Properties'!H19)),'Oil-Water Separators'!B26/'Oil-Water Separators'!$F$9)</f>
        <v>596.86993322416765</v>
      </c>
      <c r="P53" s="105">
        <f t="shared" si="4"/>
        <v>191.21293420620106</v>
      </c>
    </row>
    <row r="54" spans="8:16">
      <c r="H54" s="55"/>
      <c r="I54" s="55"/>
      <c r="J54" s="63" t="s">
        <v>75</v>
      </c>
      <c r="K54" s="105">
        <f>$F$3/($F$4*IF(ABS('Chemical Properties'!G57)&gt;0,'Chemical Properties'!G57,'Chemical Properties'!G20))</f>
        <v>1.4729817708333335</v>
      </c>
      <c r="L54" s="105">
        <f t="shared" si="3"/>
        <v>8.8156806276993016E-3</v>
      </c>
      <c r="M54" s="257">
        <f>(IF(ABS('Chemical Properties'!D57)&gt;0,'Chemical Properties'!D57,'Chemical Properties'!D20)/760*$F$4*$F$5)/($F$7*$F$6*$B$4)</f>
        <v>3.1033073068728796E-3</v>
      </c>
      <c r="N54" s="105">
        <f t="shared" si="5"/>
        <v>2.7357766106996935E-5</v>
      </c>
      <c r="O54" s="105">
        <f>IF($F$10&gt;=1,10^IF(ABS('Chemical Properties'!H57)&gt;0,'Chemical Properties'!H57,'Chemical Properties'!H20)*'Oil-Water Separators'!B27/(1-'Oil-Water Separators'!$F$9+'Oil-Water Separators'!$F$9*10^IF(ABS('Chemical Properties'!H57)&gt;0,'Chemical Properties'!H57,'Chemical Properties'!H20)),'Oil-Water Separators'!B27/'Oil-Water Separators'!$F$9)</f>
        <v>73.88707229270608</v>
      </c>
      <c r="P54" s="105">
        <f t="shared" si="4"/>
        <v>1.1642973803862433</v>
      </c>
    </row>
    <row r="55" spans="8:16">
      <c r="H55" s="55"/>
      <c r="I55" s="55"/>
      <c r="J55" s="64" t="s">
        <v>78</v>
      </c>
      <c r="K55" s="105">
        <f>$F$3/($F$4*IF(ABS('Chemical Properties'!G58)&gt;0,'Chemical Properties'!G58,'Chemical Properties'!G21))</f>
        <v>3.7334983498349841</v>
      </c>
      <c r="L55" s="105">
        <f t="shared" si="3"/>
        <v>4.7274875300324492E-3</v>
      </c>
      <c r="M55" s="257">
        <f>(IF(ABS('Chemical Properties'!D58)&gt;0,'Chemical Properties'!D58,'Chemical Properties'!D21)/760*$F$4*$F$5)/($F$7*$F$6*$B$4)</f>
        <v>1.608821904837055E-7</v>
      </c>
      <c r="N55" s="105">
        <f t="shared" si="5"/>
        <v>7.605685493160229E-10</v>
      </c>
      <c r="O55" s="105">
        <f>IF($F$10&gt;=1,10^IF(ABS('Chemical Properties'!H58)&gt;0,'Chemical Properties'!H58,'Chemical Properties'!H21)*'Oil-Water Separators'!B28/(1-'Oil-Water Separators'!$F$9+'Oil-Water Separators'!$F$9*10^IF(ABS('Chemical Properties'!H58)&gt;0,'Chemical Properties'!H58,'Chemical Properties'!H21)),'Oil-Water Separators'!B28/'Oil-Water Separators'!$F$9)</f>
        <v>852.07449689129533</v>
      </c>
      <c r="P55" s="105">
        <f t="shared" si="4"/>
        <v>850.5974702155562</v>
      </c>
    </row>
    <row r="56" spans="8:16">
      <c r="H56" s="55"/>
      <c r="I56" s="55"/>
      <c r="J56" s="65" t="s">
        <v>14</v>
      </c>
      <c r="K56" s="105">
        <f>$F$3/($F$4*IF(ABS('Chemical Properties'!G59)&gt;0,'Chemical Properties'!G59,'Chemical Properties'!G22))</f>
        <v>0.93279736136878999</v>
      </c>
      <c r="L56" s="105">
        <f t="shared" si="3"/>
        <v>1.1972658376200295E-2</v>
      </c>
      <c r="M56" s="257">
        <f>(IF(ABS('Chemical Properties'!D59)&gt;0,'Chemical Properties'!D59,'Chemical Properties'!D22)/760*$F$4*$F$5)/($F$7*$F$6*$B$4)</f>
        <v>0.15707709303243114</v>
      </c>
      <c r="N56" s="105">
        <f t="shared" si="5"/>
        <v>1.8806303736039298E-3</v>
      </c>
      <c r="O56" s="105">
        <f>IF($F$10&gt;=1,10^IF(ABS('Chemical Properties'!H59)&gt;0,'Chemical Properties'!H59,'Chemical Properties'!H22)*'Oil-Water Separators'!B29/(1-'Oil-Water Separators'!$F$9+'Oil-Water Separators'!$F$9*10^IF(ABS('Chemical Properties'!H59)&gt;0,'Chemical Properties'!H59,'Chemical Properties'!H22)),'Oil-Water Separators'!B29/'Oil-Water Separators'!$F$9)</f>
        <v>6.2891872780210996</v>
      </c>
      <c r="P56" s="105">
        <f t="shared" si="4"/>
        <v>1.464414620131853E-3</v>
      </c>
    </row>
    <row r="57" spans="8:16">
      <c r="H57" s="55"/>
      <c r="I57" s="55"/>
      <c r="J57" s="65" t="s">
        <v>79</v>
      </c>
      <c r="K57" s="105">
        <f>$F$3/($F$4*IF(ABS('Chemical Properties'!G60)&gt;0,'Chemical Properties'!G60,'Chemical Properties'!G23))</f>
        <v>1.4503205128205132</v>
      </c>
      <c r="L57" s="105">
        <f t="shared" si="3"/>
        <v>8.9077334846236738E-3</v>
      </c>
      <c r="M57" s="257">
        <f>(IF(ABS('Chemical Properties'!D60)&gt;0,'Chemical Properties'!D60,'Chemical Properties'!D23)/760*$F$4*$F$5)/($F$7*$F$6*$B$4)</f>
        <v>1.3267774007732975E-3</v>
      </c>
      <c r="N57" s="105">
        <f t="shared" si="5"/>
        <v>1.1818579479510266E-5</v>
      </c>
      <c r="O57" s="105">
        <f>IF($F$10&gt;=1,10^IF(ABS('Chemical Properties'!H60)&gt;0,'Chemical Properties'!H60,'Chemical Properties'!H23)*'Oil-Water Separators'!B30/(1-'Oil-Water Separators'!$F$9+'Oil-Water Separators'!$F$9*10^IF(ABS('Chemical Properties'!H60)&gt;0,'Chemical Properties'!H60,'Chemical Properties'!H23)),'Oil-Water Separators'!B30/'Oil-Water Separators'!$F$9)</f>
        <v>29.342723834598978</v>
      </c>
      <c r="P57" s="105">
        <f t="shared" si="4"/>
        <v>1.0485888873840912</v>
      </c>
    </row>
    <row r="58" spans="8:16">
      <c r="H58" s="55"/>
      <c r="I58" s="55"/>
      <c r="J58" s="65" t="s">
        <v>15</v>
      </c>
      <c r="K58" s="105">
        <f>$F$3/($F$4*IF(ABS('Chemical Properties'!G61)&gt;0,'Chemical Properties'!G61,'Chemical Properties'!G24))</f>
        <v>2.1425189393939394</v>
      </c>
      <c r="L58" s="105">
        <f t="shared" si="3"/>
        <v>6.8584907770496677E-3</v>
      </c>
      <c r="M58" s="257">
        <f>(IF(ABS('Chemical Properties'!D61)&gt;0,'Chemical Properties'!D61,'Chemical Properties'!D24)/760*$F$4*$F$5)/($F$7*$F$6*$B$4)</f>
        <v>4.6395486467292656E-9</v>
      </c>
      <c r="N58" s="105">
        <f t="shared" si="5"/>
        <v>3.1820301603265935E-11</v>
      </c>
      <c r="O58" s="105">
        <f>IF($F$10&gt;=1,10^IF(ABS('Chemical Properties'!H61)&gt;0,'Chemical Properties'!H61,'Chemical Properties'!H24)*'Oil-Water Separators'!B31/(1-'Oil-Water Separators'!$F$9+'Oil-Water Separators'!$F$9*10^IF(ABS('Chemical Properties'!H61)&gt;0,'Chemical Properties'!H61,'Chemical Properties'!H24)),'Oil-Water Separators'!B31/'Oil-Water Separators'!$F$9)</f>
        <v>3.7189330525599175E-2</v>
      </c>
      <c r="P58" s="105">
        <f t="shared" si="4"/>
        <v>3.7186628950830171E-2</v>
      </c>
    </row>
    <row r="59" spans="8:16">
      <c r="H59" s="55"/>
      <c r="I59" s="55"/>
      <c r="J59" s="65" t="s">
        <v>80</v>
      </c>
      <c r="K59" s="105">
        <f>$F$3/($F$4*IF(ABS('Chemical Properties'!G62)&gt;0,'Chemical Properties'!G62,'Chemical Properties'!G25))</f>
        <v>2.0577535243292409</v>
      </c>
      <c r="L59" s="105">
        <f t="shared" si="3"/>
        <v>7.0465175893311945E-3</v>
      </c>
      <c r="M59" s="257">
        <f>(IF(ABS('Chemical Properties'!D62)&gt;0,'Chemical Properties'!D62,'Chemical Properties'!D25)/760*$F$4*$F$5)/($F$7*$F$6*$B$4)</f>
        <v>8.2063268365817072E-4</v>
      </c>
      <c r="N59" s="105">
        <f t="shared" si="5"/>
        <v>5.7826026397773622E-6</v>
      </c>
      <c r="O59" s="105">
        <f>IF($F$10&gt;=1,10^IF(ABS('Chemical Properties'!H62)&gt;0,'Chemical Properties'!H62,'Chemical Properties'!H25)*'Oil-Water Separators'!B32/(1-'Oil-Water Separators'!$F$9+'Oil-Water Separators'!$F$9*10^IF(ABS('Chemical Properties'!H62)&gt;0,'Chemical Properties'!H62,'Chemical Properties'!H25)),'Oil-Water Separators'!B32/'Oil-Water Separators'!$F$9)</f>
        <v>998.52455088703005</v>
      </c>
      <c r="P59" s="105">
        <f t="shared" si="4"/>
        <v>70.307296352909674</v>
      </c>
    </row>
    <row r="60" spans="8:16">
      <c r="H60" s="55"/>
      <c r="I60" s="55"/>
      <c r="J60" s="65" t="s">
        <v>59</v>
      </c>
      <c r="K60" s="105" t="e">
        <f>$F$3/($F$4*IF(ABS('Chemical Properties'!G63)&gt;0,'Chemical Properties'!G63,'Chemical Properties'!G26))</f>
        <v>#DIV/0!</v>
      </c>
      <c r="L60" s="105" t="e">
        <f t="shared" si="3"/>
        <v>#DIV/0!</v>
      </c>
      <c r="M60" s="257">
        <f>(IF(ABS('Chemical Properties'!D63)&gt;0,'Chemical Properties'!D63,'Chemical Properties'!D26)/760*$F$4*$F$5)/($F$7*$F$6*$B$4)</f>
        <v>0</v>
      </c>
      <c r="N60" s="105" t="e">
        <f>L60*M60</f>
        <v>#DIV/0!</v>
      </c>
      <c r="O60" s="105">
        <f>IF($F$10&gt;=1,10^IF(ABS('Chemical Properties'!H63)&gt;0,'Chemical Properties'!H63,'Chemical Properties'!H26)*'Oil-Water Separators'!B33/(1-'Oil-Water Separators'!$F$9+'Oil-Water Separators'!$F$9*10^IF(ABS('Chemical Properties'!H63)&gt;0,'Chemical Properties'!H63,'Chemical Properties'!H26)),'Oil-Water Separators'!B33/'Oil-Water Separators'!$F$9)</f>
        <v>1</v>
      </c>
      <c r="P60" s="105" t="e">
        <f>($F$8*O60)/(N60*$B$3+$F$8)</f>
        <v>#DIV/0!</v>
      </c>
    </row>
    <row r="61" spans="8:16">
      <c r="H61" s="55"/>
      <c r="I61" s="55"/>
      <c r="J61" s="65" t="s">
        <v>60</v>
      </c>
      <c r="K61" s="105" t="e">
        <f>$F$3/($F$4*IF(ABS('Chemical Properties'!G64)&gt;0,'Chemical Properties'!G64,'Chemical Properties'!G27))</f>
        <v>#DIV/0!</v>
      </c>
      <c r="L61" s="105" t="e">
        <f t="shared" si="3"/>
        <v>#DIV/0!</v>
      </c>
      <c r="M61" s="257">
        <f>(IF(ABS('Chemical Properties'!D64)&gt;0,'Chemical Properties'!D64,'Chemical Properties'!D27)/760*$F$4*$F$5)/($F$7*$F$6*$B$4)</f>
        <v>0</v>
      </c>
      <c r="N61" s="105" t="e">
        <f>L61*M61</f>
        <v>#DIV/0!</v>
      </c>
      <c r="O61" s="105">
        <f>IF($F$10&gt;=1,10^IF(ABS('Chemical Properties'!H64)&gt;0,'Chemical Properties'!H64,'Chemical Properties'!H27)*'Oil-Water Separators'!B34/(1-'Oil-Water Separators'!$F$9+'Oil-Water Separators'!$F$9*10^IF(ABS('Chemical Properties'!H64)&gt;0,'Chemical Properties'!H64,'Chemical Properties'!H27)),'Oil-Water Separators'!B34/'Oil-Water Separators'!$F$9)</f>
        <v>1</v>
      </c>
      <c r="P61" s="105" t="e">
        <f>($F$8*O61)/(N61*$B$3+$F$8)</f>
        <v>#DIV/0!</v>
      </c>
    </row>
    <row r="62" spans="8:16">
      <c r="H62" s="55"/>
      <c r="I62" s="55"/>
      <c r="J62" s="65" t="s">
        <v>61</v>
      </c>
      <c r="K62" s="105" t="e">
        <f>$F$3/($F$4*IF(ABS('Chemical Properties'!G65)&gt;0,'Chemical Properties'!G65,'Chemical Properties'!G28))</f>
        <v>#DIV/0!</v>
      </c>
      <c r="L62" s="105" t="e">
        <f t="shared" si="3"/>
        <v>#DIV/0!</v>
      </c>
      <c r="M62" s="257">
        <f>(IF(ABS('Chemical Properties'!D65)&gt;0,'Chemical Properties'!D65,'Chemical Properties'!D28)/760*$F$4*$F$5)/($F$7*$F$6*$B$4)</f>
        <v>0</v>
      </c>
      <c r="N62" s="105" t="e">
        <f>L62*M62</f>
        <v>#DIV/0!</v>
      </c>
      <c r="O62" s="105">
        <f>IF($F$10&gt;=1,10^IF(ABS('Chemical Properties'!H65)&gt;0,'Chemical Properties'!H65,'Chemical Properties'!H28)*'Oil-Water Separators'!B35/(1-'Oil-Water Separators'!$F$9+'Oil-Water Separators'!$F$9*10^IF(ABS('Chemical Properties'!H65)&gt;0,'Chemical Properties'!H65,'Chemical Properties'!H28)),'Oil-Water Separators'!B35/'Oil-Water Separators'!$F$9)</f>
        <v>1</v>
      </c>
      <c r="P62" s="105" t="e">
        <f>($F$8*O62)/(N62*$B$3+$F$8)</f>
        <v>#DIV/0!</v>
      </c>
    </row>
    <row r="63" spans="8:16">
      <c r="H63" s="55"/>
      <c r="I63" s="55"/>
      <c r="J63" s="65" t="s">
        <v>256</v>
      </c>
      <c r="K63" s="105">
        <f>$F$3/($F$4*IF(ABS('Chemical Properties'!G66)&gt;0,'Chemical Properties'!G66,'Chemical Properties'!G29))</f>
        <v>1.5204973118279572</v>
      </c>
      <c r="L63" s="105">
        <f t="shared" si="3"/>
        <v>8.6301371520497751E-3</v>
      </c>
      <c r="M63" s="257">
        <f>(IF(ABS('Chemical Properties'!D66)&gt;0,'Chemical Properties'!D66,'Chemical Properties'!D29)/760*$F$4*$F$5)/($F$7*$F$6*$B$4)</f>
        <v>3.0374023514558507E-2</v>
      </c>
      <c r="N63" s="105">
        <f>L63*M63</f>
        <v>2.6213198879022486E-4</v>
      </c>
      <c r="O63" s="105">
        <f>IF($F$10&gt;=1,10^IF(ABS('Chemical Properties'!H66)&gt;0,'Chemical Properties'!H66,'Chemical Properties'!H29)*'Oil-Water Separators'!B36/(1-'Oil-Water Separators'!$F$9+'Oil-Water Separators'!$F$9*10^IF(ABS('Chemical Properties'!H66)&gt;0,'Chemical Properties'!H66,'Chemical Properties'!H29)),'Oil-Water Separators'!B36/'Oil-Water Separators'!$F$9)</f>
        <v>437.26144341123347</v>
      </c>
      <c r="P63" s="105">
        <f>($F$8*O63)/(N63*$B$3+$F$8)</f>
        <v>0.72940747378075954</v>
      </c>
    </row>
    <row r="64" spans="8:16">
      <c r="H64" s="55"/>
      <c r="I64" s="55"/>
    </row>
    <row r="65" spans="8:18">
      <c r="H65" s="55"/>
      <c r="I65" s="55"/>
      <c r="J65" s="212"/>
      <c r="K65" s="225"/>
      <c r="L65" s="225"/>
      <c r="M65" s="225"/>
      <c r="N65" s="225"/>
      <c r="O65" s="225"/>
      <c r="P65" s="225"/>
    </row>
    <row r="66" spans="8:18">
      <c r="H66" s="55"/>
      <c r="I66" s="55"/>
      <c r="J66" s="55"/>
      <c r="K66" s="55"/>
      <c r="L66" s="55"/>
      <c r="M66" s="55"/>
      <c r="N66" s="55"/>
      <c r="O66" s="55"/>
      <c r="P66" s="55"/>
    </row>
    <row r="67" spans="8:18">
      <c r="H67" s="55"/>
      <c r="I67" s="55"/>
      <c r="J67" s="55"/>
      <c r="K67" s="55"/>
      <c r="L67" s="55"/>
      <c r="M67" s="55"/>
      <c r="N67" s="55"/>
      <c r="O67" s="55"/>
      <c r="P67" s="55"/>
    </row>
    <row r="68" spans="8:18">
      <c r="H68" s="55"/>
      <c r="I68" s="55"/>
      <c r="J68" s="55"/>
      <c r="K68" s="55"/>
      <c r="L68" s="55"/>
      <c r="M68" s="55"/>
      <c r="N68" s="55"/>
      <c r="O68" s="55"/>
    </row>
    <row r="69" spans="8:18">
      <c r="H69" s="55"/>
      <c r="I69" s="55"/>
      <c r="J69" s="55"/>
      <c r="K69" s="55"/>
      <c r="L69" s="55"/>
      <c r="M69" s="55"/>
      <c r="N69" s="55"/>
      <c r="O69" s="55"/>
    </row>
    <row r="70" spans="8:18">
      <c r="H70" s="55"/>
      <c r="I70" s="55"/>
      <c r="J70" s="280" t="s">
        <v>159</v>
      </c>
      <c r="K70" s="280"/>
      <c r="L70" s="280"/>
      <c r="M70" s="280"/>
      <c r="N70" s="280"/>
      <c r="O70" s="280"/>
      <c r="P70" s="280"/>
      <c r="Q70" s="280"/>
      <c r="R70" s="135"/>
    </row>
    <row r="71" spans="8:18" ht="25.5">
      <c r="H71" s="55"/>
      <c r="I71" s="55"/>
      <c r="J71" s="128" t="s">
        <v>153</v>
      </c>
      <c r="K71" s="129" t="s">
        <v>155</v>
      </c>
      <c r="L71" s="129" t="s">
        <v>156</v>
      </c>
      <c r="M71" s="129" t="s">
        <v>157</v>
      </c>
      <c r="N71" s="129" t="s">
        <v>276</v>
      </c>
      <c r="O71" s="129" t="s">
        <v>158</v>
      </c>
      <c r="P71" s="129" t="s">
        <v>154</v>
      </c>
      <c r="Q71" s="129" t="s">
        <v>277</v>
      </c>
    </row>
    <row r="72" spans="8:18">
      <c r="J72" s="60" t="s">
        <v>17</v>
      </c>
      <c r="K72" s="256">
        <f t="shared" ref="K72:K93" si="6">$B$5*B11</f>
        <v>8.7599999999999997E-2</v>
      </c>
      <c r="L72" s="127">
        <f t="shared" ref="L72:L93" si="7">M3*$B$5</f>
        <v>8.7670576176224715E-2</v>
      </c>
      <c r="M72" s="127">
        <f t="shared" ref="M72:M93" si="8">K3</f>
        <v>1.6787273811319413E-5</v>
      </c>
      <c r="N72" s="127">
        <f>P38*$B$5*$F$9</f>
        <v>3.0712614016939865E-7</v>
      </c>
      <c r="O72" s="281">
        <f>L72/$K72*100</f>
        <v>100.08056641121543</v>
      </c>
      <c r="P72" s="281">
        <f t="shared" ref="P72:Q87" si="9">M72/$K72*100</f>
        <v>1.9163554579131749E-2</v>
      </c>
      <c r="Q72" s="281">
        <f t="shared" si="9"/>
        <v>3.5060061663173364E-4</v>
      </c>
    </row>
    <row r="73" spans="8:18">
      <c r="J73" s="62" t="s">
        <v>6</v>
      </c>
      <c r="K73" s="256">
        <f t="shared" si="6"/>
        <v>8.7599999999999997E-2</v>
      </c>
      <c r="L73" s="127">
        <f t="shared" si="7"/>
        <v>7.7255742793275628E-2</v>
      </c>
      <c r="M73" s="127">
        <f t="shared" si="8"/>
        <v>1.0072144837468103E-2</v>
      </c>
      <c r="N73" s="127">
        <f t="shared" ref="N73:N97" si="10">P39*$B$5*$F$9</f>
        <v>3.4936811204954094E-4</v>
      </c>
      <c r="O73" s="281">
        <f t="shared" ref="O73:O97" si="11">L73/$K73*100</f>
        <v>88.191487206935648</v>
      </c>
      <c r="P73" s="281">
        <f t="shared" si="9"/>
        <v>11.49788223455263</v>
      </c>
      <c r="Q73" s="281">
        <f t="shared" si="9"/>
        <v>0.39882204571865404</v>
      </c>
    </row>
    <row r="74" spans="8:18">
      <c r="J74" s="62" t="s">
        <v>13</v>
      </c>
      <c r="K74" s="256">
        <f t="shared" si="6"/>
        <v>8.7599999999999997E-2</v>
      </c>
      <c r="L74" s="127">
        <f t="shared" si="7"/>
        <v>7.9708826205641473E-2</v>
      </c>
      <c r="M74" s="127">
        <f t="shared" si="8"/>
        <v>7.9059985273512157E-3</v>
      </c>
      <c r="N74" s="127">
        <f t="shared" si="10"/>
        <v>6.4884093212935157E-5</v>
      </c>
      <c r="O74" s="281">
        <f t="shared" si="11"/>
        <v>90.991810737033646</v>
      </c>
      <c r="P74" s="281">
        <f t="shared" si="9"/>
        <v>9.0251124741452227</v>
      </c>
      <c r="Q74" s="281">
        <f t="shared" si="9"/>
        <v>7.4068599558145168E-2</v>
      </c>
    </row>
    <row r="75" spans="8:18">
      <c r="J75" s="60" t="s">
        <v>69</v>
      </c>
      <c r="K75" s="256">
        <f t="shared" si="6"/>
        <v>8.7599999999999997E-2</v>
      </c>
      <c r="L75" s="127">
        <f t="shared" si="7"/>
        <v>8.7520753395793544E-2</v>
      </c>
      <c r="M75" s="127">
        <f t="shared" si="8"/>
        <v>1.6087723444096352E-4</v>
      </c>
      <c r="N75" s="127">
        <f t="shared" si="10"/>
        <v>5.8901231612696294E-6</v>
      </c>
      <c r="O75" s="281">
        <f t="shared" si="11"/>
        <v>99.909535839946969</v>
      </c>
      <c r="P75" s="281">
        <f t="shared" si="9"/>
        <v>0.18364981100566613</v>
      </c>
      <c r="Q75" s="281">
        <f t="shared" si="9"/>
        <v>6.7238848872940987E-3</v>
      </c>
    </row>
    <row r="76" spans="8:18">
      <c r="J76" s="62" t="s">
        <v>9</v>
      </c>
      <c r="K76" s="256">
        <f t="shared" si="6"/>
        <v>8.7599999999999997E-2</v>
      </c>
      <c r="L76" s="127">
        <f t="shared" si="7"/>
        <v>2.6627210953699573E-2</v>
      </c>
      <c r="M76" s="127">
        <f t="shared" si="8"/>
        <v>1.1804307668228367E-3</v>
      </c>
      <c r="N76" s="127">
        <f t="shared" si="10"/>
        <v>5.9818985490431284E-2</v>
      </c>
      <c r="O76" s="281">
        <f t="shared" si="11"/>
        <v>30.396359536186729</v>
      </c>
      <c r="P76" s="281">
        <f t="shared" si="9"/>
        <v>1.3475237064187633</v>
      </c>
      <c r="Q76" s="281">
        <f t="shared" si="9"/>
        <v>68.286513116930692</v>
      </c>
    </row>
    <row r="77" spans="8:18">
      <c r="J77" s="63" t="s">
        <v>7</v>
      </c>
      <c r="K77" s="256">
        <f t="shared" si="6"/>
        <v>8.7599999999999997E-2</v>
      </c>
      <c r="L77" s="127">
        <f t="shared" si="7"/>
        <v>1.8246601710300712E-2</v>
      </c>
      <c r="M77" s="127">
        <f t="shared" si="8"/>
        <v>3.9785567950076248E-2</v>
      </c>
      <c r="N77" s="127">
        <f t="shared" si="10"/>
        <v>2.9586076941333337E-2</v>
      </c>
      <c r="O77" s="281">
        <f t="shared" si="11"/>
        <v>20.829454007192595</v>
      </c>
      <c r="P77" s="281">
        <f t="shared" si="9"/>
        <v>45.417315011502566</v>
      </c>
      <c r="Q77" s="281">
        <f t="shared" si="9"/>
        <v>33.77406043531203</v>
      </c>
    </row>
    <row r="78" spans="8:18">
      <c r="J78" s="62" t="s">
        <v>8</v>
      </c>
      <c r="K78" s="256">
        <f t="shared" si="6"/>
        <v>8.7599999999999997E-2</v>
      </c>
      <c r="L78" s="127">
        <f t="shared" si="7"/>
        <v>3.6816247507049989E-2</v>
      </c>
      <c r="M78" s="127">
        <f t="shared" si="8"/>
        <v>3.6771738146666601E-2</v>
      </c>
      <c r="N78" s="127">
        <f t="shared" si="10"/>
        <v>1.4048830593790453E-2</v>
      </c>
      <c r="O78" s="281">
        <f t="shared" si="11"/>
        <v>42.027679802568478</v>
      </c>
      <c r="P78" s="281">
        <f t="shared" si="9"/>
        <v>41.976870030441326</v>
      </c>
      <c r="Q78" s="281">
        <f t="shared" si="9"/>
        <v>16.037477846792754</v>
      </c>
    </row>
    <row r="79" spans="8:18">
      <c r="J79" s="62" t="s">
        <v>11</v>
      </c>
      <c r="K79" s="256">
        <f t="shared" si="6"/>
        <v>8.7599999999999997E-2</v>
      </c>
      <c r="L79" s="127">
        <f t="shared" si="7"/>
        <v>4.6845831903099995E-2</v>
      </c>
      <c r="M79" s="127">
        <f t="shared" si="8"/>
        <v>2.5159122429927606E-2</v>
      </c>
      <c r="N79" s="127">
        <f t="shared" si="10"/>
        <v>1.5641891498875488E-2</v>
      </c>
      <c r="O79" s="281">
        <f t="shared" si="11"/>
        <v>53.476977058333333</v>
      </c>
      <c r="P79" s="281">
        <f t="shared" si="9"/>
        <v>28.720459394894526</v>
      </c>
      <c r="Q79" s="281">
        <f t="shared" si="9"/>
        <v>17.856040523830465</v>
      </c>
    </row>
    <row r="80" spans="8:18">
      <c r="J80" s="63" t="s">
        <v>70</v>
      </c>
      <c r="K80" s="256">
        <f t="shared" si="6"/>
        <v>8.7599999999999997E-2</v>
      </c>
      <c r="L80" s="127">
        <f t="shared" si="7"/>
        <v>7.9874263896304712E-2</v>
      </c>
      <c r="M80" s="127">
        <f t="shared" si="8"/>
        <v>7.7995427050544137E-3</v>
      </c>
      <c r="N80" s="127">
        <f t="shared" si="10"/>
        <v>6.0676625371762408E-6</v>
      </c>
      <c r="O80" s="281">
        <f t="shared" si="11"/>
        <v>91.180666548293061</v>
      </c>
      <c r="P80" s="281">
        <f t="shared" si="9"/>
        <v>8.9035875628475054</v>
      </c>
      <c r="Q80" s="281">
        <f t="shared" si="9"/>
        <v>6.9265554077354349E-3</v>
      </c>
    </row>
    <row r="81" spans="10:17">
      <c r="J81" s="63" t="s">
        <v>16</v>
      </c>
      <c r="K81" s="256">
        <f t="shared" si="6"/>
        <v>8.7599999999999997E-2</v>
      </c>
      <c r="L81" s="127">
        <f t="shared" si="7"/>
        <v>8.7686887173257524E-2</v>
      </c>
      <c r="M81" s="127">
        <f t="shared" si="8"/>
        <v>4.1904440311247581E-8</v>
      </c>
      <c r="N81" s="127">
        <f t="shared" si="10"/>
        <v>7.5780947540264742E-7</v>
      </c>
      <c r="O81" s="281">
        <f t="shared" si="11"/>
        <v>100.09918627084193</v>
      </c>
      <c r="P81" s="281">
        <f t="shared" si="9"/>
        <v>4.783611907676665E-5</v>
      </c>
      <c r="Q81" s="281">
        <f t="shared" si="9"/>
        <v>8.6507930982037372E-4</v>
      </c>
    </row>
    <row r="82" spans="10:17">
      <c r="J82" s="60" t="s">
        <v>71</v>
      </c>
      <c r="K82" s="256">
        <f t="shared" si="6"/>
        <v>8.7599999999999997E-2</v>
      </c>
      <c r="L82" s="127">
        <f t="shared" si="7"/>
        <v>8.634896188988099E-2</v>
      </c>
      <c r="M82" s="127">
        <f t="shared" si="8"/>
        <v>1.1292561379603744E-3</v>
      </c>
      <c r="N82" s="127">
        <f t="shared" si="10"/>
        <v>2.0813093404850811E-4</v>
      </c>
      <c r="O82" s="281">
        <f t="shared" si="11"/>
        <v>98.57187430351712</v>
      </c>
      <c r="P82" s="281">
        <f t="shared" si="9"/>
        <v>1.2891051803200622</v>
      </c>
      <c r="Q82" s="281">
        <f t="shared" si="9"/>
        <v>0.23759239046633346</v>
      </c>
    </row>
    <row r="83" spans="10:17">
      <c r="J83" s="62" t="s">
        <v>12</v>
      </c>
      <c r="K83" s="256">
        <f t="shared" si="6"/>
        <v>8.7599999999999997E-2</v>
      </c>
      <c r="L83" s="127">
        <f t="shared" si="7"/>
        <v>5.6105605216924842E-2</v>
      </c>
      <c r="M83" s="127">
        <f t="shared" si="8"/>
        <v>2.8247748871850446E-2</v>
      </c>
      <c r="N83" s="127">
        <f t="shared" si="10"/>
        <v>3.3027515164416339E-3</v>
      </c>
      <c r="O83" s="281">
        <f t="shared" si="11"/>
        <v>64.047494539868538</v>
      </c>
      <c r="P83" s="281">
        <f t="shared" si="9"/>
        <v>32.246288666495943</v>
      </c>
      <c r="Q83" s="281">
        <f t="shared" si="9"/>
        <v>3.770264288175381</v>
      </c>
    </row>
    <row r="84" spans="10:17">
      <c r="J84" s="62" t="s">
        <v>10</v>
      </c>
      <c r="K84" s="256">
        <f t="shared" si="6"/>
        <v>8.7599999999999997E-2</v>
      </c>
      <c r="L84" s="127">
        <f t="shared" si="7"/>
        <v>8.5114692084173285E-2</v>
      </c>
      <c r="M84" s="127">
        <f t="shared" si="8"/>
        <v>1.9015260942346305E-4</v>
      </c>
      <c r="N84" s="127">
        <f t="shared" si="10"/>
        <v>2.3802699984874082E-3</v>
      </c>
      <c r="O84" s="281">
        <f t="shared" si="11"/>
        <v>97.162890507047123</v>
      </c>
      <c r="P84" s="281">
        <f t="shared" si="9"/>
        <v>0.21706918883956972</v>
      </c>
      <c r="Q84" s="281">
        <f t="shared" si="9"/>
        <v>2.7172031946203292</v>
      </c>
    </row>
    <row r="85" spans="10:17">
      <c r="J85" s="63" t="s">
        <v>72</v>
      </c>
      <c r="K85" s="256">
        <f t="shared" si="6"/>
        <v>8.7599999999999997E-2</v>
      </c>
      <c r="L85" s="127">
        <f t="shared" si="7"/>
        <v>7.964360396399665E-3</v>
      </c>
      <c r="M85" s="127">
        <f t="shared" si="8"/>
        <v>7.8653368268223528E-2</v>
      </c>
      <c r="N85" s="127">
        <f t="shared" si="10"/>
        <v>9.9023569577320371E-4</v>
      </c>
      <c r="O85" s="281">
        <f t="shared" si="11"/>
        <v>9.0917356123283852</v>
      </c>
      <c r="P85" s="281">
        <f t="shared" si="9"/>
        <v>89.786950077880746</v>
      </c>
      <c r="Q85" s="281">
        <f t="shared" si="9"/>
        <v>1.1304060454032006</v>
      </c>
    </row>
    <row r="86" spans="10:17">
      <c r="J86" s="63" t="s">
        <v>73</v>
      </c>
      <c r="K86" s="256">
        <f t="shared" si="6"/>
        <v>8.7599999999999997E-2</v>
      </c>
      <c r="L86" s="127">
        <f t="shared" si="7"/>
        <v>8.7599999999999997E-2</v>
      </c>
      <c r="M86" s="127">
        <f t="shared" si="8"/>
        <v>6.3120438554163627E-6</v>
      </c>
      <c r="N86" s="127">
        <f t="shared" si="10"/>
        <v>8.1287956144583643E-5</v>
      </c>
      <c r="O86" s="281">
        <f t="shared" si="11"/>
        <v>100</v>
      </c>
      <c r="P86" s="281">
        <f t="shared" si="9"/>
        <v>7.2055295153154834E-3</v>
      </c>
      <c r="Q86" s="281">
        <f t="shared" si="9"/>
        <v>9.2794470484684533E-2</v>
      </c>
    </row>
    <row r="87" spans="10:17">
      <c r="J87" s="64" t="s">
        <v>74</v>
      </c>
      <c r="K87" s="256">
        <f t="shared" si="6"/>
        <v>8.7599999999999997E-2</v>
      </c>
      <c r="L87" s="127">
        <f t="shared" si="7"/>
        <v>3.5349543392955859E-2</v>
      </c>
      <c r="M87" s="127">
        <f t="shared" si="8"/>
        <v>3.5535553113973876E-2</v>
      </c>
      <c r="N87" s="127">
        <f t="shared" si="10"/>
        <v>1.6750253036463214E-2</v>
      </c>
      <c r="O87" s="281">
        <f t="shared" si="11"/>
        <v>40.353360037620845</v>
      </c>
      <c r="P87" s="281">
        <f t="shared" si="9"/>
        <v>40.565699901796663</v>
      </c>
      <c r="Q87" s="281">
        <f t="shared" si="9"/>
        <v>19.121293420620109</v>
      </c>
    </row>
    <row r="88" spans="10:17">
      <c r="J88" s="63" t="s">
        <v>75</v>
      </c>
      <c r="K88" s="256">
        <f t="shared" si="6"/>
        <v>8.7599999999999997E-2</v>
      </c>
      <c r="L88" s="127">
        <f t="shared" si="7"/>
        <v>8.1208701168327277E-2</v>
      </c>
      <c r="M88" s="127">
        <f t="shared" si="8"/>
        <v>6.3705150823192168E-3</v>
      </c>
      <c r="N88" s="127">
        <f t="shared" si="10"/>
        <v>1.0199245052183491E-4</v>
      </c>
      <c r="O88" s="281">
        <f t="shared" si="11"/>
        <v>92.703996767496903</v>
      </c>
      <c r="P88" s="281">
        <f t="shared" ref="P88:P97" si="12">M88/$K88*100</f>
        <v>7.2722774912319839</v>
      </c>
      <c r="Q88" s="281">
        <f t="shared" ref="Q88:Q97" si="13">N88/$K88*100</f>
        <v>0.11642973803862433</v>
      </c>
    </row>
    <row r="89" spans="10:17">
      <c r="J89" s="64" t="s">
        <v>78</v>
      </c>
      <c r="K89" s="256">
        <f t="shared" si="6"/>
        <v>8.7599999999999997E-2</v>
      </c>
      <c r="L89" s="127">
        <f t="shared" si="7"/>
        <v>1.2971245317640169E-2</v>
      </c>
      <c r="M89" s="127">
        <f t="shared" si="8"/>
        <v>1.2938753679474493E-4</v>
      </c>
      <c r="N89" s="127">
        <f t="shared" si="10"/>
        <v>7.4512338390882726E-2</v>
      </c>
      <c r="O89" s="281">
        <f t="shared" si="11"/>
        <v>14.807357668539007</v>
      </c>
      <c r="P89" s="281">
        <f t="shared" si="12"/>
        <v>0.14770266757390973</v>
      </c>
      <c r="Q89" s="281">
        <f t="shared" si="13"/>
        <v>85.059747021555637</v>
      </c>
    </row>
    <row r="90" spans="10:17">
      <c r="J90" s="65" t="s">
        <v>14</v>
      </c>
      <c r="K90" s="256">
        <f t="shared" si="6"/>
        <v>8.7599999999999997E-2</v>
      </c>
      <c r="L90" s="127">
        <f t="shared" si="7"/>
        <v>8.7136203397843184E-2</v>
      </c>
      <c r="M90" s="127">
        <f t="shared" si="8"/>
        <v>5.5080452283392471E-4</v>
      </c>
      <c r="N90" s="127">
        <f t="shared" si="10"/>
        <v>1.2828272072355034E-7</v>
      </c>
      <c r="O90" s="281">
        <f t="shared" si="11"/>
        <v>99.470551824021896</v>
      </c>
      <c r="P90" s="281">
        <f t="shared" si="12"/>
        <v>0.62877228634009674</v>
      </c>
      <c r="Q90" s="281">
        <f t="shared" si="13"/>
        <v>1.4644146201318531E-4</v>
      </c>
    </row>
    <row r="91" spans="10:17">
      <c r="J91" s="65" t="s">
        <v>79</v>
      </c>
      <c r="K91" s="256">
        <f t="shared" si="6"/>
        <v>8.7599999999999997E-2</v>
      </c>
      <c r="L91" s="127">
        <f t="shared" si="7"/>
        <v>8.5114692084173285E-2</v>
      </c>
      <c r="M91" s="127">
        <f t="shared" si="8"/>
        <v>2.478566221376024E-3</v>
      </c>
      <c r="N91" s="127">
        <f t="shared" si="10"/>
        <v>9.185638653484639E-5</v>
      </c>
      <c r="O91" s="281">
        <f t="shared" si="11"/>
        <v>97.162890507047123</v>
      </c>
      <c r="P91" s="281">
        <f t="shared" si="12"/>
        <v>2.8294134947214888</v>
      </c>
      <c r="Q91" s="281">
        <f t="shared" si="13"/>
        <v>0.10485888873840912</v>
      </c>
    </row>
    <row r="92" spans="10:17">
      <c r="J92" s="65" t="s">
        <v>15</v>
      </c>
      <c r="K92" s="256">
        <f t="shared" si="6"/>
        <v>8.7599999999999997E-2</v>
      </c>
      <c r="L92" s="127">
        <f t="shared" si="7"/>
        <v>8.7684426641287241E-2</v>
      </c>
      <c r="M92" s="127">
        <f t="shared" si="8"/>
        <v>2.3665794976483132E-10</v>
      </c>
      <c r="N92" s="127">
        <f t="shared" si="10"/>
        <v>3.2575486960927228E-6</v>
      </c>
      <c r="O92" s="281">
        <f t="shared" si="11"/>
        <v>100.09637744439183</v>
      </c>
      <c r="P92" s="281">
        <f t="shared" si="12"/>
        <v>2.7015747690049235E-7</v>
      </c>
      <c r="Q92" s="281">
        <f t="shared" si="13"/>
        <v>3.718662895083017E-3</v>
      </c>
    </row>
    <row r="93" spans="10:17">
      <c r="J93" s="65" t="s">
        <v>80</v>
      </c>
      <c r="K93" s="256">
        <f t="shared" si="6"/>
        <v>8.7599999999999997E-2</v>
      </c>
      <c r="L93" s="127">
        <f t="shared" si="7"/>
        <v>1.2937872101716921E-4</v>
      </c>
      <c r="M93" s="127">
        <f t="shared" si="8"/>
        <v>8.1311831497188958E-2</v>
      </c>
      <c r="N93" s="127">
        <f t="shared" si="10"/>
        <v>6.1589191605148875E-3</v>
      </c>
      <c r="O93" s="281">
        <f t="shared" si="11"/>
        <v>0.1476926039008781</v>
      </c>
      <c r="P93" s="281">
        <f t="shared" si="12"/>
        <v>92.821725453412057</v>
      </c>
      <c r="Q93" s="281">
        <f t="shared" si="13"/>
        <v>7.0307296352909683</v>
      </c>
    </row>
    <row r="94" spans="10:17">
      <c r="J94" s="65" t="s">
        <v>59</v>
      </c>
      <c r="K94" s="256">
        <f>$B$5*B33</f>
        <v>8.7599999999999997E-2</v>
      </c>
      <c r="L94" s="127" t="e">
        <f>M25*$B$5</f>
        <v>#DIV/0!</v>
      </c>
      <c r="M94" s="127" t="e">
        <f>K25</f>
        <v>#DIV/0!</v>
      </c>
      <c r="N94" s="127" t="e">
        <f t="shared" si="10"/>
        <v>#DIV/0!</v>
      </c>
      <c r="O94" s="281" t="e">
        <f t="shared" si="11"/>
        <v>#DIV/0!</v>
      </c>
      <c r="P94" s="281" t="e">
        <f t="shared" si="12"/>
        <v>#DIV/0!</v>
      </c>
      <c r="Q94" s="281" t="e">
        <f t="shared" si="13"/>
        <v>#DIV/0!</v>
      </c>
    </row>
    <row r="95" spans="10:17">
      <c r="J95" s="81" t="s">
        <v>60</v>
      </c>
      <c r="K95" s="256">
        <f>$B$5*B34</f>
        <v>8.7599999999999997E-2</v>
      </c>
      <c r="L95" s="127" t="e">
        <f>M26*$B$5</f>
        <v>#DIV/0!</v>
      </c>
      <c r="M95" s="127" t="e">
        <f>K26</f>
        <v>#DIV/0!</v>
      </c>
      <c r="N95" s="127" t="e">
        <f t="shared" si="10"/>
        <v>#DIV/0!</v>
      </c>
      <c r="O95" s="281" t="e">
        <f t="shared" si="11"/>
        <v>#DIV/0!</v>
      </c>
      <c r="P95" s="281" t="e">
        <f t="shared" si="12"/>
        <v>#DIV/0!</v>
      </c>
      <c r="Q95" s="281" t="e">
        <f t="shared" si="13"/>
        <v>#DIV/0!</v>
      </c>
    </row>
    <row r="96" spans="10:17">
      <c r="J96" s="65" t="s">
        <v>61</v>
      </c>
      <c r="K96" s="256">
        <f>$B$5*B35</f>
        <v>8.7599999999999997E-2</v>
      </c>
      <c r="L96" s="127" t="e">
        <f>M27*$B$5</f>
        <v>#DIV/0!</v>
      </c>
      <c r="M96" s="127" t="e">
        <f>K27</f>
        <v>#DIV/0!</v>
      </c>
      <c r="N96" s="127" t="e">
        <f t="shared" si="10"/>
        <v>#DIV/0!</v>
      </c>
      <c r="O96" s="281" t="e">
        <f t="shared" si="11"/>
        <v>#DIV/0!</v>
      </c>
      <c r="P96" s="281" t="e">
        <f t="shared" si="12"/>
        <v>#DIV/0!</v>
      </c>
      <c r="Q96" s="281" t="e">
        <f t="shared" si="13"/>
        <v>#DIV/0!</v>
      </c>
    </row>
    <row r="97" spans="10:17">
      <c r="J97" s="65" t="s">
        <v>256</v>
      </c>
      <c r="K97" s="256">
        <f>$B$5*B36</f>
        <v>8.7599999999999997E-2</v>
      </c>
      <c r="L97" s="127">
        <f>M28*$B$5</f>
        <v>4.9345242799975916E-2</v>
      </c>
      <c r="M97" s="127">
        <f>K28</f>
        <v>3.8240206348120857E-2</v>
      </c>
      <c r="N97" s="127">
        <f t="shared" si="10"/>
        <v>6.3896094703194532E-5</v>
      </c>
      <c r="O97" s="281">
        <f t="shared" si="11"/>
        <v>56.33018584472137</v>
      </c>
      <c r="P97" s="281">
        <f t="shared" si="12"/>
        <v>43.653203593745275</v>
      </c>
      <c r="Q97" s="281">
        <f t="shared" si="13"/>
        <v>7.2940747378075946E-2</v>
      </c>
    </row>
    <row r="99" spans="10:17">
      <c r="J99" s="212"/>
      <c r="K99" s="89"/>
      <c r="L99" s="213"/>
      <c r="M99" s="213"/>
      <c r="N99" s="133"/>
      <c r="O99" s="133"/>
    </row>
  </sheetData>
  <mergeCells count="2">
    <mergeCell ref="A10:C10"/>
    <mergeCell ref="A1:G1"/>
  </mergeCells>
  <phoneticPr fontId="5" type="noConversion"/>
  <pageMargins left="0.75" right="0.75" top="1" bottom="1" header="0.5" footer="0.5"/>
  <pageSetup scale="30"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00B0F0"/>
  </sheetPr>
  <dimension ref="A1:T112"/>
  <sheetViews>
    <sheetView workbookViewId="0">
      <selection activeCell="B3" sqref="B3"/>
    </sheetView>
  </sheetViews>
  <sheetFormatPr defaultRowHeight="12.75"/>
  <cols>
    <col min="1" max="1" width="32.42578125" style="57" customWidth="1"/>
    <col min="2" max="3" width="9.140625" style="57"/>
    <col min="4" max="4" width="2.42578125" style="57" customWidth="1"/>
    <col min="5" max="5" width="36.28515625" style="57" customWidth="1"/>
    <col min="6" max="6" width="10" style="57" bestFit="1" customWidth="1"/>
    <col min="7" max="7" width="14.140625" style="57" customWidth="1"/>
    <col min="8" max="8" width="19.42578125" style="57" customWidth="1"/>
    <col min="9" max="9" width="3.7109375" style="57" customWidth="1"/>
    <col min="10" max="10" width="29.85546875" style="57" customWidth="1"/>
    <col min="11" max="11" width="9.42578125" style="57" bestFit="1" customWidth="1"/>
    <col min="12" max="12" width="9.140625" style="57"/>
    <col min="13" max="13" width="35.140625" style="57" customWidth="1"/>
    <col min="14" max="15" width="10" style="57" bestFit="1" customWidth="1"/>
    <col min="16" max="16" width="12.5703125" style="57" bestFit="1" customWidth="1"/>
    <col min="17" max="17" width="9.42578125" style="57" bestFit="1" customWidth="1"/>
    <col min="18" max="18" width="13.85546875" style="57" bestFit="1" customWidth="1"/>
    <col min="19" max="19" width="9.42578125" style="57" bestFit="1" customWidth="1"/>
    <col min="20" max="20" width="11" style="57" customWidth="1"/>
    <col min="21" max="16384" width="9.140625" style="57"/>
  </cols>
  <sheetData>
    <row r="1" spans="1:16" ht="39" customHeight="1">
      <c r="A1" s="305" t="s">
        <v>267</v>
      </c>
      <c r="B1" s="300"/>
      <c r="C1" s="300"/>
      <c r="D1" s="300"/>
      <c r="E1" s="300"/>
      <c r="F1" s="90"/>
      <c r="G1" s="90"/>
    </row>
    <row r="2" spans="1:16" ht="12.75" customHeight="1">
      <c r="A2" s="68" t="s">
        <v>127</v>
      </c>
      <c r="B2" s="68" t="s">
        <v>4</v>
      </c>
      <c r="C2" s="68" t="s">
        <v>5</v>
      </c>
      <c r="D2" s="86"/>
      <c r="E2" s="68" t="s">
        <v>24</v>
      </c>
      <c r="F2" s="68" t="s">
        <v>4</v>
      </c>
      <c r="G2" s="68" t="s">
        <v>5</v>
      </c>
      <c r="H2" s="68" t="s">
        <v>57</v>
      </c>
      <c r="I2" s="86"/>
      <c r="J2" s="68" t="s">
        <v>22</v>
      </c>
      <c r="K2" s="68" t="s">
        <v>4</v>
      </c>
      <c r="L2" s="68" t="s">
        <v>5</v>
      </c>
      <c r="M2" s="68" t="s">
        <v>32</v>
      </c>
      <c r="N2" s="68" t="s">
        <v>5</v>
      </c>
      <c r="O2" s="69"/>
      <c r="P2" s="69"/>
    </row>
    <row r="3" spans="1:16" ht="15.75">
      <c r="A3" s="56" t="s">
        <v>122</v>
      </c>
      <c r="B3" s="70">
        <v>200</v>
      </c>
      <c r="C3" s="59" t="s">
        <v>1</v>
      </c>
      <c r="D3" s="58"/>
      <c r="E3" s="71" t="s">
        <v>164</v>
      </c>
      <c r="F3" s="75">
        <f>H3</f>
        <v>8.9300000000000004E-3</v>
      </c>
      <c r="G3" s="72" t="s">
        <v>25</v>
      </c>
      <c r="H3" s="101">
        <v>8.9300000000000004E-3</v>
      </c>
      <c r="I3" s="58"/>
      <c r="J3" s="60" t="s">
        <v>17</v>
      </c>
      <c r="K3" s="172">
        <f>IF(ABS((S47*$B$3+$B$8*R47)*M3)&gt;N85,N85,(S47*$B$3+$B$8*R47)*M3)</f>
        <v>5.4363076035620381E-4</v>
      </c>
      <c r="L3" s="72" t="s">
        <v>23</v>
      </c>
      <c r="M3" s="173">
        <f t="shared" ref="M3:M24" si="0">$B$6*B12/(S47*$B$3+$B$6+$B$8*R47)</f>
        <v>0.97281846198218969</v>
      </c>
      <c r="N3" s="59" t="s">
        <v>18</v>
      </c>
      <c r="O3" s="79"/>
    </row>
    <row r="4" spans="1:16" ht="15.75">
      <c r="A4" s="71" t="s">
        <v>123</v>
      </c>
      <c r="B4" s="73">
        <v>0.5</v>
      </c>
      <c r="C4" s="59" t="s">
        <v>37</v>
      </c>
      <c r="D4" s="58"/>
      <c r="E4" s="71" t="s">
        <v>34</v>
      </c>
      <c r="F4" s="75">
        <f>H4</f>
        <v>1</v>
      </c>
      <c r="G4" s="72" t="s">
        <v>26</v>
      </c>
      <c r="H4" s="101">
        <v>1</v>
      </c>
      <c r="I4" s="58"/>
      <c r="J4" s="62" t="s">
        <v>6</v>
      </c>
      <c r="K4" s="172">
        <f t="shared" ref="K4:K24" si="1">IF(ABS((S48*$B$3+$B$8*R48)*M4)&gt;N86,N86,(S48*$B$3+$B$8*R48)*M4)</f>
        <v>1.8516494029152199E-2</v>
      </c>
      <c r="L4" s="72" t="s">
        <v>23</v>
      </c>
      <c r="M4" s="173">
        <f t="shared" si="0"/>
        <v>7.4175298542390175E-2</v>
      </c>
      <c r="N4" s="59" t="s">
        <v>18</v>
      </c>
      <c r="O4" s="79"/>
    </row>
    <row r="5" spans="1:16" ht="15.75">
      <c r="A5" s="71" t="s">
        <v>130</v>
      </c>
      <c r="B5" s="87">
        <v>1</v>
      </c>
      <c r="C5" s="82" t="s">
        <v>3</v>
      </c>
      <c r="D5" s="58"/>
      <c r="E5" s="71" t="s">
        <v>36</v>
      </c>
      <c r="F5" s="75">
        <f>H5</f>
        <v>8.2100000000000003E-5</v>
      </c>
      <c r="G5" s="72" t="s">
        <v>162</v>
      </c>
      <c r="H5" s="101">
        <v>8.2100000000000003E-5</v>
      </c>
      <c r="I5" s="58"/>
      <c r="J5" s="62" t="s">
        <v>13</v>
      </c>
      <c r="K5" s="172">
        <f t="shared" si="1"/>
        <v>1.97072976711966E-2</v>
      </c>
      <c r="L5" s="72" t="s">
        <v>23</v>
      </c>
      <c r="M5" s="173">
        <f t="shared" si="0"/>
        <v>1.4635116440170013E-2</v>
      </c>
      <c r="N5" s="59" t="s">
        <v>18</v>
      </c>
      <c r="O5" s="79"/>
    </row>
    <row r="6" spans="1:16" ht="15.75">
      <c r="A6" s="56" t="s">
        <v>124</v>
      </c>
      <c r="B6" s="70">
        <v>0.02</v>
      </c>
      <c r="C6" s="59" t="s">
        <v>19</v>
      </c>
      <c r="D6" s="58"/>
      <c r="E6" s="71" t="s">
        <v>163</v>
      </c>
      <c r="F6" s="75">
        <f>H6</f>
        <v>1.8100000000000001E-4</v>
      </c>
      <c r="G6" s="72" t="s">
        <v>25</v>
      </c>
      <c r="H6" s="101">
        <v>1.8100000000000001E-4</v>
      </c>
      <c r="I6" s="58"/>
      <c r="J6" s="60" t="s">
        <v>69</v>
      </c>
      <c r="K6" s="172">
        <f t="shared" si="1"/>
        <v>2.9426732384520535E-3</v>
      </c>
      <c r="L6" s="72" t="s">
        <v>23</v>
      </c>
      <c r="M6" s="173">
        <f t="shared" si="0"/>
        <v>0.85286633807739731</v>
      </c>
      <c r="N6" s="59" t="s">
        <v>18</v>
      </c>
      <c r="O6" s="79"/>
    </row>
    <row r="7" spans="1:16" ht="15.75">
      <c r="A7" s="56" t="s">
        <v>131</v>
      </c>
      <c r="B7" s="74">
        <v>3</v>
      </c>
      <c r="C7" s="59" t="s">
        <v>46</v>
      </c>
      <c r="D7" s="58"/>
      <c r="E7" s="71" t="s">
        <v>27</v>
      </c>
      <c r="F7" s="75">
        <f>H7</f>
        <v>1.1999999999999999E-3</v>
      </c>
      <c r="G7" s="72" t="s">
        <v>26</v>
      </c>
      <c r="H7" s="101">
        <v>1.1999999999999999E-3</v>
      </c>
      <c r="I7" s="58"/>
      <c r="J7" s="62" t="s">
        <v>9</v>
      </c>
      <c r="K7" s="172">
        <f t="shared" si="1"/>
        <v>1.0612685203198162E-2</v>
      </c>
      <c r="L7" s="72" t="s">
        <v>23</v>
      </c>
      <c r="M7" s="173">
        <f t="shared" si="0"/>
        <v>0.46936573984009189</v>
      </c>
      <c r="N7" s="59" t="s">
        <v>18</v>
      </c>
      <c r="O7" s="79"/>
    </row>
    <row r="8" spans="1:16" ht="15.75">
      <c r="A8" s="71" t="s">
        <v>132</v>
      </c>
      <c r="B8" s="74">
        <v>1</v>
      </c>
      <c r="C8" s="59" t="s">
        <v>19</v>
      </c>
      <c r="D8" s="58"/>
      <c r="E8" s="56" t="s">
        <v>90</v>
      </c>
      <c r="F8" s="97">
        <v>8.4999999999999999E-6</v>
      </c>
      <c r="G8" s="59" t="s">
        <v>89</v>
      </c>
      <c r="H8" s="103">
        <v>8.4999999999999999E-6</v>
      </c>
      <c r="I8" s="58"/>
      <c r="J8" s="63" t="s">
        <v>7</v>
      </c>
      <c r="K8" s="172">
        <f t="shared" si="1"/>
        <v>1.9403862732136602E-2</v>
      </c>
      <c r="L8" s="72" t="s">
        <v>23</v>
      </c>
      <c r="M8" s="173">
        <f t="shared" si="0"/>
        <v>2.9806863393169895E-2</v>
      </c>
      <c r="N8" s="59" t="s">
        <v>18</v>
      </c>
      <c r="O8" s="79"/>
    </row>
    <row r="9" spans="1:16" ht="15.75">
      <c r="A9" s="56" t="s">
        <v>56</v>
      </c>
      <c r="B9" s="75">
        <v>4.4130000000000003</v>
      </c>
      <c r="C9" s="59" t="s">
        <v>0</v>
      </c>
      <c r="D9" s="58"/>
      <c r="I9" s="58"/>
      <c r="J9" s="62" t="s">
        <v>8</v>
      </c>
      <c r="K9" s="172">
        <f t="shared" si="1"/>
        <v>1.8924500239949602E-2</v>
      </c>
      <c r="L9" s="72" t="s">
        <v>23</v>
      </c>
      <c r="M9" s="173">
        <f t="shared" si="0"/>
        <v>5.3774988002519973E-2</v>
      </c>
      <c r="N9" s="59" t="s">
        <v>18</v>
      </c>
      <c r="O9" s="79"/>
    </row>
    <row r="10" spans="1:16" ht="14.25">
      <c r="D10" s="58"/>
      <c r="I10" s="58"/>
      <c r="J10" s="62" t="s">
        <v>11</v>
      </c>
      <c r="K10" s="172">
        <f t="shared" si="1"/>
        <v>0</v>
      </c>
      <c r="L10" s="72" t="s">
        <v>23</v>
      </c>
      <c r="M10" s="173">
        <f t="shared" si="0"/>
        <v>0</v>
      </c>
      <c r="N10" s="59" t="s">
        <v>18</v>
      </c>
      <c r="O10" s="79"/>
    </row>
    <row r="11" spans="1:16" ht="15">
      <c r="A11" s="298" t="s">
        <v>102</v>
      </c>
      <c r="B11" s="308"/>
      <c r="C11" s="308"/>
      <c r="D11" s="58"/>
      <c r="I11" s="58"/>
      <c r="J11" s="63" t="s">
        <v>70</v>
      </c>
      <c r="K11" s="172">
        <f t="shared" si="1"/>
        <v>0</v>
      </c>
      <c r="L11" s="72" t="s">
        <v>23</v>
      </c>
      <c r="M11" s="173">
        <f t="shared" si="0"/>
        <v>0</v>
      </c>
      <c r="N11" s="59" t="s">
        <v>18</v>
      </c>
      <c r="O11" s="79"/>
    </row>
    <row r="12" spans="1:16" ht="14.25">
      <c r="A12" s="60" t="s">
        <v>17</v>
      </c>
      <c r="B12" s="76">
        <v>1</v>
      </c>
      <c r="C12" s="59" t="s">
        <v>18</v>
      </c>
      <c r="D12" s="58"/>
      <c r="I12" s="58"/>
      <c r="J12" s="63" t="s">
        <v>16</v>
      </c>
      <c r="K12" s="172">
        <f t="shared" si="1"/>
        <v>0</v>
      </c>
      <c r="L12" s="72" t="s">
        <v>23</v>
      </c>
      <c r="M12" s="173">
        <f t="shared" si="0"/>
        <v>0</v>
      </c>
      <c r="N12" s="59" t="s">
        <v>18</v>
      </c>
      <c r="O12" s="79"/>
    </row>
    <row r="13" spans="1:16" ht="14.25">
      <c r="A13" s="62" t="s">
        <v>6</v>
      </c>
      <c r="B13" s="76">
        <v>1</v>
      </c>
      <c r="C13" s="59" t="s">
        <v>18</v>
      </c>
      <c r="D13" s="58"/>
      <c r="I13" s="58"/>
      <c r="J13" s="60" t="s">
        <v>71</v>
      </c>
      <c r="K13" s="172">
        <f t="shared" si="1"/>
        <v>0</v>
      </c>
      <c r="L13" s="72" t="s">
        <v>23</v>
      </c>
      <c r="M13" s="173">
        <f t="shared" si="0"/>
        <v>0</v>
      </c>
      <c r="N13" s="59" t="s">
        <v>18</v>
      </c>
      <c r="O13" s="79"/>
    </row>
    <row r="14" spans="1:16" ht="14.25">
      <c r="A14" s="62" t="s">
        <v>13</v>
      </c>
      <c r="B14" s="76">
        <v>1</v>
      </c>
      <c r="C14" s="59" t="s">
        <v>18</v>
      </c>
      <c r="D14" s="58"/>
      <c r="I14" s="58"/>
      <c r="J14" s="62" t="s">
        <v>12</v>
      </c>
      <c r="K14" s="172">
        <f t="shared" si="1"/>
        <v>0</v>
      </c>
      <c r="L14" s="72" t="s">
        <v>23</v>
      </c>
      <c r="M14" s="173">
        <f t="shared" si="0"/>
        <v>0</v>
      </c>
      <c r="N14" s="59" t="s">
        <v>18</v>
      </c>
      <c r="O14" s="79"/>
    </row>
    <row r="15" spans="1:16" ht="14.25">
      <c r="A15" s="60" t="s">
        <v>69</v>
      </c>
      <c r="B15" s="76">
        <v>1</v>
      </c>
      <c r="C15" s="59" t="s">
        <v>18</v>
      </c>
      <c r="D15" s="58"/>
      <c r="I15" s="58"/>
      <c r="J15" s="62" t="s">
        <v>10</v>
      </c>
      <c r="K15" s="172">
        <f t="shared" si="1"/>
        <v>0</v>
      </c>
      <c r="L15" s="72" t="s">
        <v>23</v>
      </c>
      <c r="M15" s="173">
        <f t="shared" si="0"/>
        <v>0</v>
      </c>
      <c r="N15" s="59" t="s">
        <v>18</v>
      </c>
      <c r="O15" s="79"/>
    </row>
    <row r="16" spans="1:16" ht="14.25">
      <c r="A16" s="62" t="s">
        <v>9</v>
      </c>
      <c r="B16" s="76">
        <v>1</v>
      </c>
      <c r="C16" s="59" t="s">
        <v>18</v>
      </c>
      <c r="D16" s="58"/>
      <c r="I16" s="58"/>
      <c r="J16" s="63" t="s">
        <v>72</v>
      </c>
      <c r="K16" s="172">
        <f t="shared" si="1"/>
        <v>0</v>
      </c>
      <c r="L16" s="72" t="s">
        <v>23</v>
      </c>
      <c r="M16" s="173">
        <f t="shared" si="0"/>
        <v>0</v>
      </c>
      <c r="N16" s="59" t="s">
        <v>18</v>
      </c>
      <c r="O16" s="79"/>
    </row>
    <row r="17" spans="1:15" ht="14.25">
      <c r="A17" s="63" t="s">
        <v>7</v>
      </c>
      <c r="B17" s="76">
        <v>1</v>
      </c>
      <c r="C17" s="59" t="s">
        <v>18</v>
      </c>
      <c r="D17" s="58"/>
      <c r="I17" s="58"/>
      <c r="J17" s="63" t="s">
        <v>73</v>
      </c>
      <c r="K17" s="172">
        <f t="shared" si="1"/>
        <v>0</v>
      </c>
      <c r="L17" s="72" t="s">
        <v>23</v>
      </c>
      <c r="M17" s="173">
        <f t="shared" si="0"/>
        <v>0</v>
      </c>
      <c r="N17" s="59" t="s">
        <v>18</v>
      </c>
      <c r="O17" s="79"/>
    </row>
    <row r="18" spans="1:15" ht="14.25">
      <c r="A18" s="62" t="s">
        <v>8</v>
      </c>
      <c r="B18" s="76">
        <v>1</v>
      </c>
      <c r="C18" s="59" t="s">
        <v>18</v>
      </c>
      <c r="D18" s="58"/>
      <c r="I18" s="58"/>
      <c r="J18" s="64" t="s">
        <v>74</v>
      </c>
      <c r="K18" s="172">
        <f t="shared" si="1"/>
        <v>0</v>
      </c>
      <c r="L18" s="72" t="s">
        <v>23</v>
      </c>
      <c r="M18" s="173">
        <f t="shared" si="0"/>
        <v>0</v>
      </c>
      <c r="N18" s="59" t="s">
        <v>18</v>
      </c>
      <c r="O18" s="79"/>
    </row>
    <row r="19" spans="1:15" ht="14.25">
      <c r="A19" s="62" t="s">
        <v>11</v>
      </c>
      <c r="B19" s="76">
        <v>0</v>
      </c>
      <c r="C19" s="59" t="s">
        <v>18</v>
      </c>
      <c r="D19" s="58"/>
      <c r="I19" s="58"/>
      <c r="J19" s="63" t="s">
        <v>75</v>
      </c>
      <c r="K19" s="172">
        <f t="shared" si="1"/>
        <v>0</v>
      </c>
      <c r="L19" s="72" t="s">
        <v>23</v>
      </c>
      <c r="M19" s="173">
        <f t="shared" si="0"/>
        <v>0</v>
      </c>
      <c r="N19" s="59" t="s">
        <v>18</v>
      </c>
      <c r="O19" s="79"/>
    </row>
    <row r="20" spans="1:15" ht="14.25">
      <c r="A20" s="63" t="s">
        <v>70</v>
      </c>
      <c r="B20" s="76">
        <v>0</v>
      </c>
      <c r="C20" s="59" t="s">
        <v>18</v>
      </c>
      <c r="D20" s="58"/>
      <c r="I20" s="58"/>
      <c r="J20" s="64" t="s">
        <v>78</v>
      </c>
      <c r="K20" s="172">
        <f t="shared" si="1"/>
        <v>0</v>
      </c>
      <c r="L20" s="72" t="s">
        <v>23</v>
      </c>
      <c r="M20" s="173">
        <f t="shared" si="0"/>
        <v>0</v>
      </c>
      <c r="N20" s="59" t="s">
        <v>18</v>
      </c>
      <c r="O20" s="79"/>
    </row>
    <row r="21" spans="1:15" ht="14.25">
      <c r="A21" s="63" t="s">
        <v>16</v>
      </c>
      <c r="B21" s="76">
        <v>0</v>
      </c>
      <c r="C21" s="59" t="s">
        <v>18</v>
      </c>
      <c r="D21" s="58"/>
      <c r="I21" s="58"/>
      <c r="J21" s="65" t="s">
        <v>14</v>
      </c>
      <c r="K21" s="172">
        <f t="shared" si="1"/>
        <v>0</v>
      </c>
      <c r="L21" s="72" t="s">
        <v>23</v>
      </c>
      <c r="M21" s="173">
        <f t="shared" si="0"/>
        <v>0</v>
      </c>
      <c r="N21" s="59" t="s">
        <v>18</v>
      </c>
      <c r="O21" s="79"/>
    </row>
    <row r="22" spans="1:15" ht="14.25">
      <c r="A22" s="60" t="s">
        <v>71</v>
      </c>
      <c r="B22" s="76">
        <v>0</v>
      </c>
      <c r="C22" s="59" t="s">
        <v>18</v>
      </c>
      <c r="D22" s="58"/>
      <c r="I22" s="58"/>
      <c r="J22" s="65" t="s">
        <v>79</v>
      </c>
      <c r="K22" s="172">
        <f t="shared" si="1"/>
        <v>0</v>
      </c>
      <c r="L22" s="72" t="s">
        <v>23</v>
      </c>
      <c r="M22" s="173">
        <f t="shared" si="0"/>
        <v>0</v>
      </c>
      <c r="N22" s="59" t="s">
        <v>18</v>
      </c>
      <c r="O22" s="79"/>
    </row>
    <row r="23" spans="1:15" ht="14.25">
      <c r="A23" s="62" t="s">
        <v>12</v>
      </c>
      <c r="B23" s="76">
        <v>0</v>
      </c>
      <c r="C23" s="59" t="s">
        <v>18</v>
      </c>
      <c r="D23" s="58"/>
      <c r="I23" s="58"/>
      <c r="J23" s="65" t="s">
        <v>15</v>
      </c>
      <c r="K23" s="172">
        <f t="shared" si="1"/>
        <v>0</v>
      </c>
      <c r="L23" s="72" t="s">
        <v>23</v>
      </c>
      <c r="M23" s="173">
        <f t="shared" si="0"/>
        <v>0</v>
      </c>
      <c r="N23" s="59" t="s">
        <v>18</v>
      </c>
      <c r="O23" s="79"/>
    </row>
    <row r="24" spans="1:15" ht="14.25">
      <c r="A24" s="62" t="s">
        <v>10</v>
      </c>
      <c r="B24" s="76">
        <v>0</v>
      </c>
      <c r="C24" s="59" t="s">
        <v>18</v>
      </c>
      <c r="D24" s="58"/>
      <c r="I24" s="58"/>
      <c r="J24" s="65" t="s">
        <v>80</v>
      </c>
      <c r="K24" s="172">
        <f t="shared" si="1"/>
        <v>0</v>
      </c>
      <c r="L24" s="72" t="s">
        <v>23</v>
      </c>
      <c r="M24" s="173">
        <f t="shared" si="0"/>
        <v>0</v>
      </c>
      <c r="N24" s="59" t="s">
        <v>18</v>
      </c>
      <c r="O24" s="79"/>
    </row>
    <row r="25" spans="1:15" ht="14.25">
      <c r="A25" s="63" t="s">
        <v>72</v>
      </c>
      <c r="B25" s="76">
        <v>0</v>
      </c>
      <c r="C25" s="59" t="s">
        <v>18</v>
      </c>
      <c r="D25" s="58"/>
      <c r="I25" s="58"/>
      <c r="J25" s="65" t="s">
        <v>59</v>
      </c>
      <c r="K25" s="172" t="e">
        <f>IF(ABS((S69*$B$3+$B$8*R69)*M25)&gt;N107,N107,(S69*$B$3+$B$8*R69)*M25)</f>
        <v>#DIV/0!</v>
      </c>
      <c r="L25" s="72" t="s">
        <v>23</v>
      </c>
      <c r="M25" s="173" t="e">
        <f>$B$6*B34/(S69*$B$3+$B$6+$B$8*R69)</f>
        <v>#DIV/0!</v>
      </c>
      <c r="N25" s="59" t="s">
        <v>18</v>
      </c>
      <c r="O25" s="79"/>
    </row>
    <row r="26" spans="1:15" ht="14.25">
      <c r="A26" s="63" t="s">
        <v>73</v>
      </c>
      <c r="B26" s="76">
        <v>0</v>
      </c>
      <c r="C26" s="59" t="s">
        <v>18</v>
      </c>
      <c r="D26" s="58"/>
      <c r="I26" s="58"/>
      <c r="J26" s="81" t="s">
        <v>60</v>
      </c>
      <c r="K26" s="172" t="e">
        <f>IF(ABS((S70*$B$3+$B$8*R70)*M26)&gt;N108,N108,(S70*$B$3+$B$8*R70)*M26)</f>
        <v>#DIV/0!</v>
      </c>
      <c r="L26" s="72" t="s">
        <v>23</v>
      </c>
      <c r="M26" s="173" t="e">
        <f>$B$6*B35/(S70*$B$3+$B$6+$B$8*R70)</f>
        <v>#DIV/0!</v>
      </c>
      <c r="N26" s="59" t="s">
        <v>18</v>
      </c>
      <c r="O26" s="79"/>
    </row>
    <row r="27" spans="1:15" ht="14.25">
      <c r="A27" s="64" t="s">
        <v>74</v>
      </c>
      <c r="B27" s="76">
        <v>0</v>
      </c>
      <c r="C27" s="59" t="s">
        <v>18</v>
      </c>
      <c r="D27" s="58"/>
      <c r="I27" s="58"/>
      <c r="J27" s="65" t="s">
        <v>61</v>
      </c>
      <c r="K27" s="172" t="e">
        <f>IF(ABS((S71*$B$3+$B$8*R71)*M27)&gt;N109,N109,(S71*$B$3+$B$8*R71)*M27)</f>
        <v>#DIV/0!</v>
      </c>
      <c r="L27" s="72" t="s">
        <v>23</v>
      </c>
      <c r="M27" s="173" t="e">
        <f>$B$6*B36/(S71*$B$3+$B$6+$B$8*R71)</f>
        <v>#DIV/0!</v>
      </c>
      <c r="N27" s="59" t="s">
        <v>18</v>
      </c>
      <c r="O27" s="79"/>
    </row>
    <row r="28" spans="1:15" ht="14.25">
      <c r="A28" s="63" t="s">
        <v>75</v>
      </c>
      <c r="B28" s="76">
        <v>0</v>
      </c>
      <c r="C28" s="59" t="s">
        <v>18</v>
      </c>
      <c r="D28" s="58"/>
      <c r="I28" s="58"/>
      <c r="J28" s="65" t="s">
        <v>256</v>
      </c>
      <c r="K28" s="172">
        <f>IF(ABS((S72*$B$3+$B$8*R72)*M28)&gt;N110,N110,(S72*$B$3+$B$8*R72)*M28)</f>
        <v>0</v>
      </c>
      <c r="L28" s="72" t="s">
        <v>23</v>
      </c>
      <c r="M28" s="173">
        <f>$B$6*B37/(S72*$B$3+$B$6+$B$8*R72)</f>
        <v>0</v>
      </c>
      <c r="N28" s="59" t="s">
        <v>18</v>
      </c>
      <c r="O28" s="79"/>
    </row>
    <row r="29" spans="1:15" ht="14.25">
      <c r="A29" s="64" t="s">
        <v>78</v>
      </c>
      <c r="B29" s="76">
        <v>0</v>
      </c>
      <c r="C29" s="59" t="s">
        <v>18</v>
      </c>
      <c r="D29" s="58"/>
      <c r="H29" s="55"/>
      <c r="I29" s="58"/>
      <c r="O29" s="79"/>
    </row>
    <row r="30" spans="1:15" ht="14.25">
      <c r="A30" s="65" t="s">
        <v>14</v>
      </c>
      <c r="B30" s="76">
        <v>0</v>
      </c>
      <c r="C30" s="59" t="s">
        <v>18</v>
      </c>
      <c r="D30" s="58"/>
      <c r="H30" s="55"/>
      <c r="I30" s="58"/>
      <c r="J30" s="212"/>
      <c r="K30" s="258"/>
      <c r="L30" s="89"/>
      <c r="M30" s="258"/>
      <c r="N30" s="185"/>
      <c r="O30" s="79"/>
    </row>
    <row r="31" spans="1:15" ht="14.25">
      <c r="A31" s="65" t="s">
        <v>79</v>
      </c>
      <c r="B31" s="76">
        <v>0</v>
      </c>
      <c r="C31" s="59" t="s">
        <v>18</v>
      </c>
      <c r="D31" s="58"/>
      <c r="H31" s="55"/>
      <c r="I31" s="55"/>
      <c r="J31" s="55"/>
      <c r="K31" s="55"/>
      <c r="L31" s="80"/>
      <c r="M31" s="55"/>
      <c r="N31" s="79"/>
      <c r="O31" s="79"/>
    </row>
    <row r="32" spans="1:15" ht="14.25">
      <c r="A32" s="65" t="s">
        <v>15</v>
      </c>
      <c r="B32" s="76">
        <v>0</v>
      </c>
      <c r="C32" s="59" t="s">
        <v>18</v>
      </c>
      <c r="D32" s="58"/>
      <c r="H32" s="55"/>
      <c r="I32" s="55"/>
      <c r="J32" s="55"/>
      <c r="K32" s="55"/>
      <c r="L32" s="80"/>
      <c r="M32" s="55"/>
      <c r="N32" s="79"/>
      <c r="O32" s="79"/>
    </row>
    <row r="33" spans="1:20" ht="14.25">
      <c r="A33" s="65" t="s">
        <v>80</v>
      </c>
      <c r="B33" s="76">
        <v>0</v>
      </c>
      <c r="C33" s="59" t="s">
        <v>18</v>
      </c>
      <c r="D33" s="58"/>
      <c r="I33" s="55"/>
      <c r="J33" s="55"/>
      <c r="K33" s="55"/>
      <c r="L33" s="80"/>
      <c r="M33" s="55"/>
      <c r="N33" s="79"/>
      <c r="O33" s="79"/>
    </row>
    <row r="34" spans="1:20" ht="14.25">
      <c r="A34" s="65" t="s">
        <v>59</v>
      </c>
      <c r="B34" s="76">
        <v>0</v>
      </c>
      <c r="C34" s="59" t="s">
        <v>18</v>
      </c>
      <c r="D34" s="58"/>
      <c r="I34" s="55"/>
      <c r="J34" s="55"/>
      <c r="K34" s="55"/>
      <c r="L34" s="80"/>
      <c r="M34" s="55"/>
      <c r="N34" s="79"/>
      <c r="O34" s="79"/>
    </row>
    <row r="35" spans="1:20" ht="14.25">
      <c r="A35" s="81" t="s">
        <v>60</v>
      </c>
      <c r="B35" s="76">
        <v>0</v>
      </c>
      <c r="C35" s="82" t="s">
        <v>18</v>
      </c>
      <c r="D35" s="58"/>
      <c r="H35" s="55"/>
      <c r="I35" s="55"/>
      <c r="J35" s="55"/>
      <c r="K35" s="55"/>
      <c r="L35" s="80"/>
      <c r="M35" s="55"/>
      <c r="N35" s="79"/>
      <c r="O35" s="79"/>
    </row>
    <row r="36" spans="1:20" ht="14.25">
      <c r="A36" s="65" t="s">
        <v>61</v>
      </c>
      <c r="B36" s="76">
        <v>0</v>
      </c>
      <c r="C36" s="59" t="s">
        <v>18</v>
      </c>
      <c r="D36" s="58"/>
      <c r="H36" s="55"/>
      <c r="I36" s="55"/>
      <c r="J36" s="55"/>
      <c r="K36" s="55"/>
      <c r="L36" s="80"/>
      <c r="M36" s="55"/>
      <c r="N36" s="79"/>
      <c r="O36" s="79"/>
    </row>
    <row r="37" spans="1:20" ht="14.25">
      <c r="A37" s="65" t="s">
        <v>256</v>
      </c>
      <c r="B37" s="76">
        <v>0</v>
      </c>
      <c r="C37" s="59" t="s">
        <v>18</v>
      </c>
      <c r="D37" s="58"/>
      <c r="J37" s="55"/>
      <c r="K37" s="55"/>
      <c r="L37" s="80"/>
      <c r="M37" s="55"/>
      <c r="N37" s="79"/>
      <c r="O37" s="79"/>
    </row>
    <row r="38" spans="1:20">
      <c r="D38" s="58"/>
      <c r="J38" s="55"/>
      <c r="K38" s="55"/>
      <c r="L38" s="80"/>
      <c r="M38" s="55"/>
      <c r="N38" s="79"/>
      <c r="O38" s="79"/>
    </row>
    <row r="39" spans="1:20">
      <c r="A39" s="212"/>
      <c r="B39" s="215"/>
      <c r="C39" s="185"/>
      <c r="D39" s="58"/>
    </row>
    <row r="40" spans="1:20">
      <c r="A40" s="55"/>
      <c r="B40" s="80"/>
      <c r="C40" s="79"/>
    </row>
    <row r="41" spans="1:20">
      <c r="A41" s="55"/>
      <c r="B41" s="80"/>
      <c r="C41" s="79"/>
    </row>
    <row r="42" spans="1:20">
      <c r="A42" s="55"/>
      <c r="B42" s="55"/>
      <c r="C42" s="79"/>
    </row>
    <row r="43" spans="1:20" ht="15.75">
      <c r="A43" s="55"/>
      <c r="B43" s="55"/>
      <c r="C43" s="79"/>
      <c r="M43" s="56" t="s">
        <v>56</v>
      </c>
      <c r="N43" s="273">
        <f>IF(B9&lt;minWindSpd,minWindSpd,B9)</f>
        <v>4.4130000000000003</v>
      </c>
      <c r="O43" s="59" t="s">
        <v>0</v>
      </c>
    </row>
    <row r="44" spans="1:20">
      <c r="A44" s="55"/>
      <c r="B44" s="55"/>
      <c r="C44" s="79"/>
      <c r="M44" s="272" t="str">
        <f>IF(B9&lt;minWindSpd,CONCATENATE("Windspeed has been set at ",TEXT(minWindSpd,"0.##")," m/s, which is the minimum windspeed for the mass transfer calculations"),"")</f>
        <v/>
      </c>
    </row>
    <row r="45" spans="1:20">
      <c r="A45" s="55"/>
      <c r="B45" s="55"/>
      <c r="C45" s="79"/>
    </row>
    <row r="46" spans="1:20" ht="14.25">
      <c r="A46" s="55"/>
      <c r="B46" s="55"/>
      <c r="C46" s="79"/>
      <c r="M46" s="83" t="s">
        <v>21</v>
      </c>
      <c r="N46" s="83" t="s">
        <v>107</v>
      </c>
      <c r="O46" s="83" t="s">
        <v>103</v>
      </c>
      <c r="P46" s="83" t="s">
        <v>108</v>
      </c>
      <c r="Q46" s="83" t="s">
        <v>104</v>
      </c>
      <c r="R46" s="83" t="s">
        <v>35</v>
      </c>
      <c r="S46" s="83" t="s">
        <v>112</v>
      </c>
      <c r="T46" s="84"/>
    </row>
    <row r="47" spans="1:20">
      <c r="A47" s="55"/>
      <c r="B47" s="55"/>
      <c r="C47" s="79"/>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Properties'!F4)/$F$8)^(2/3),IF($N$80&lt;14,IF($N$79&lt;0.3,0.000001+0.0144*$N$79^2.2*N47^(-0.5),0.000001+0.00341*$N$79*N47^(-0.5)),IF($N$80&lt;=51.2,(0.000000002605*$N$80+0.0000001277)*$N$43^2*(IF(ABS('Chemical Properties'!F41)&gt;0,'Chemical Properties'!F41,'Chemical Properties'!F4)/$F$8)^(2/3),0.000000261*$N$43^2*(IF(ABS('Chemical Properties'!F41)&gt;0,'Chemical Properties'!F41,'Chemical Properties'!F4)/$F$8)^(2/3))))</f>
        <v>8.1127543656047231E-6</v>
      </c>
      <c r="Q47" s="105">
        <f t="shared" ref="Q47:Q72" si="2">4.82*10^(-3)*$N$43^(0.78)*O47^(-0.67)*(2*($B$3/3.14)^0.5)^(-0.11)</f>
        <v>1.1271679104395306E-2</v>
      </c>
      <c r="R47" s="105">
        <f>IF(ABS('Chemical Properties'!E41)&gt;0,'Chemical Properties'!E41,'Chemical Properties'!E4)/($F$5*($B$4+273.15))</f>
        <v>2.0252227021678562E-4</v>
      </c>
      <c r="S47" s="105">
        <f>(P47*R47*Q47)/(R47*Q47+P47)</f>
        <v>1.7814904346105778E-6</v>
      </c>
      <c r="T47" s="55"/>
    </row>
    <row r="48" spans="1:20">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Properties'!F5)/$F$8)^(2/3),IF($N$80&lt;14,IF($N$79&lt;0.3,0.000001+0.0144*$N$79^2.2*N48^(-0.5),0.000001+0.00341*$N$79*N48^(-0.5)),IF($N$80&lt;=51.2,(0.000000002605*$N$80+0.0000001277)*$N$43^2*(IF(ABS('Chemical Properties'!F42)&gt;0,'Chemical Properties'!F42,'Chemical Properties'!F5)/$F$8)^(2/3),0.000000261*$N$43^2*(IF(ABS('Chemical Properties'!F42)&gt;0,'Chemical Properties'!F42,'Chemical Properties'!F5)/$F$8)^(2/3))))</f>
        <v>6.4983062343247953E-6</v>
      </c>
      <c r="Q48" s="105">
        <f t="shared" si="2"/>
        <v>7.8851664071886377E-3</v>
      </c>
      <c r="R48" s="105">
        <f>IF(ABS('Chemical Properties'!E42)&gt;0,'Chemical Properties'!E42,'Chemical Properties'!E5)/($F$5*($B$4+273.15))</f>
        <v>0.24833617781213699</v>
      </c>
      <c r="S48" s="105">
        <f t="shared" ref="S48:S68" si="3">(P48*R48*Q48)/(R48*Q48+P48)</f>
        <v>6.4768125608510938E-6</v>
      </c>
      <c r="T48" s="55"/>
    </row>
    <row r="49" spans="13:20">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Properties'!F6)/$F$8)^(2/3),IF($N$80&lt;14,IF($N$79&lt;0.3,0.000001+0.0144*$N$79^2.2*N49^(-0.5),0.000001+0.00341*$N$79*N49^(-0.5)),IF($N$80&lt;=51.2,(0.000000002605*$N$80+0.0000001277)*$N$43^2*(IF(ABS('Chemical Properties'!F43)&gt;0,'Chemical Properties'!F43,'Chemical Properties'!F6)/$F$8)^(2/3),0.000000261*$N$43^2*(IF(ABS('Chemical Properties'!F43)&gt;0,'Chemical Properties'!F43,'Chemical Properties'!F6)/$F$8)^(2/3))))</f>
        <v>6.5541280333304767E-6</v>
      </c>
      <c r="Q49" s="105">
        <f t="shared" si="2"/>
        <v>8.819009491745626E-3</v>
      </c>
      <c r="R49" s="105">
        <f>IF(ABS('Chemical Properties'!E43)&gt;0,'Chemical Properties'!E43,'Chemical Properties'!E6)/($F$5*($B$4+273.15))</f>
        <v>1.345265974380653</v>
      </c>
      <c r="S49" s="105">
        <f t="shared" si="3"/>
        <v>6.5505092546946103E-6</v>
      </c>
      <c r="T49" s="55"/>
    </row>
    <row r="50" spans="13:20">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Properties'!F7)/$F$8)^(2/3),IF($N$80&lt;14,IF($N$79&lt;0.3,0.000001+0.0144*$N$79^2.2*N50^(-0.5),0.000001+0.00341*$N$79*N50^(-0.5)),IF($N$80&lt;=51.2,(0.000000002605*$N$80+0.0000001277)*$N$43^2*(IF(ABS('Chemical Properties'!F44)&gt;0,'Chemical Properties'!F44,'Chemical Properties'!F7)/$F$8)^(2/3),0.000000261*$N$43^2*(IF(ABS('Chemical Properties'!F44)&gt;0,'Chemical Properties'!F44,'Chemical Properties'!F7)/$F$8)^(2/3))))</f>
        <v>6.4983062343247953E-6</v>
      </c>
      <c r="Q50" s="105">
        <f t="shared" si="2"/>
        <v>7.4468582025688963E-3</v>
      </c>
      <c r="R50" s="105">
        <f>IF(ABS('Chemical Properties'!E44)&gt;0,'Chemical Properties'!E44,'Chemical Properties'!E7)/($F$5*($B$4+273.15))</f>
        <v>2.4881307483776518E-3</v>
      </c>
      <c r="S50" s="105">
        <f t="shared" si="3"/>
        <v>4.8110134131648653E-6</v>
      </c>
      <c r="T50" s="55"/>
    </row>
    <row r="51" spans="13:20">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Properties'!F8)/$F$8)^(2/3),IF($N$80&lt;14,IF($N$79&lt;0.3,0.000001+0.0144*$N$79^2.2*N51^(-0.5),0.000001+0.00341*$N$79*N51^(-0.5)),IF($N$80&lt;=51.2,(0.000000002605*$N$80+0.0000001277)*$N$43^2*(IF(ABS('Chemical Properties'!F45)&gt;0,'Chemical Properties'!F45,'Chemical Properties'!F8)/$F$8)^(2/3),0.000000261*$N$43^2*(IF(ABS('Chemical Properties'!F45)&gt;0,'Chemical Properties'!F45,'Chemical Properties'!F8)/$F$8)^(2/3))))</f>
        <v>5.8100159727354958E-6</v>
      </c>
      <c r="Q51" s="105">
        <f t="shared" si="2"/>
        <v>6.0322359491633316E-3</v>
      </c>
      <c r="R51" s="105">
        <f>IF(ABS('Chemical Properties'!E45)&gt;0,'Chemical Properties'!E45,'Chemical Properties'!E8)/($F$5*($B$4+273.15))</f>
        <v>2.1498517915320318E-2</v>
      </c>
      <c r="S51" s="105">
        <f t="shared" si="3"/>
        <v>5.5608813351632446E-6</v>
      </c>
      <c r="T51" s="55"/>
    </row>
    <row r="52" spans="13:20">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Properties'!F9)/$F$8)^(2/3),IF($N$80&lt;14,IF($N$79&lt;0.3,0.000001+0.0144*$N$79^2.2*N52^(-0.5),0.000001+0.00341*$N$79*N52^(-0.5)),IF($N$80&lt;=51.2,(0.000000002605*$N$80+0.0000001277)*$N$43^2*(IF(ABS('Chemical Properties'!F46)&gt;0,'Chemical Properties'!F46,'Chemical Properties'!F9)/$F$8)^(2/3),0.000000261*$N$43^2*(IF(ABS('Chemical Properties'!F46)&gt;0,'Chemical Properties'!F46,'Chemical Properties'!F9)/$F$8)^(2/3))))</f>
        <v>5.6799914668240047E-6</v>
      </c>
      <c r="Q52" s="105">
        <f t="shared" si="2"/>
        <v>7.7646419691796134E-3</v>
      </c>
      <c r="R52" s="105">
        <f>IF(ABS('Chemical Properties'!E46)&gt;0,'Chemical Properties'!E46,'Chemical Properties'!E9)/($F$5*($B$4+273.15))</f>
        <v>0.64985168025605933</v>
      </c>
      <c r="S52" s="105">
        <f t="shared" si="3"/>
        <v>5.6736048466726502E-6</v>
      </c>
      <c r="T52" s="55"/>
    </row>
    <row r="53" spans="13:20">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Properties'!F10)/$F$8)^(2/3),IF($N$80&lt;14,IF($N$79&lt;0.3,0.000001+0.0144*$N$79^2.2*N53^(-0.5),0.000001+0.00341*$N$79*N53^(-0.5)),IF($N$80&lt;=51.2,(0.000000002605*$N$80+0.0000001277)*$N$43^2*(IF(ABS('Chemical Properties'!F47)&gt;0,'Chemical Properties'!F47,'Chemical Properties'!F10)/$F$8)^(2/3),0.000000261*$N$43^2*(IF(ABS('Chemical Properties'!F47)&gt;0,'Chemical Properties'!F47,'Chemical Properties'!F10)/$F$8)^(2/3))))</f>
        <v>5.9052730611342543E-6</v>
      </c>
      <c r="Q53" s="105">
        <f t="shared" si="2"/>
        <v>7.0843256937715617E-3</v>
      </c>
      <c r="R53" s="105">
        <f>IF(ABS('Chemical Properties'!E47)&gt;0,'Chemical Properties'!E47,'Chemical Properties'!E10)/($F$5*($B$4+273.15))</f>
        <v>0.35074186578203753</v>
      </c>
      <c r="S53" s="105">
        <f t="shared" si="3"/>
        <v>5.8912719363223635E-6</v>
      </c>
      <c r="T53" s="55"/>
    </row>
    <row r="54" spans="13:20">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Properties'!F11)/$F$8)^(2/3),IF($N$80&lt;14,IF($N$79&lt;0.3,0.000001+0.0144*$N$79^2.2*N54^(-0.5),0.000001+0.00341*$N$79*N54^(-0.5)),IF($N$80&lt;=51.2,(0.000000002605*$N$80+0.0000001277)*$N$43^2*(IF(ABS('Chemical Properties'!F48)&gt;0,'Chemical Properties'!F48,'Chemical Properties'!F11)/$F$8)^(2/3),0.000000261*$N$43^2*(IF(ABS('Chemical Properties'!F48)&gt;0,'Chemical Properties'!F48,'Chemical Properties'!F11)/$F$8)^(2/3))))</f>
        <v>5.967763135305665E-6</v>
      </c>
      <c r="Q54" s="105">
        <f t="shared" si="2"/>
        <v>6.8288970631828422E-3</v>
      </c>
      <c r="R54" s="105">
        <f>IF(ABS('Chemical Properties'!E48)&gt;0,'Chemical Properties'!E48,'Chemical Properties'!E11)/($F$5*($B$4+273.15))</f>
        <v>0.12240356991124406</v>
      </c>
      <c r="S54" s="105">
        <f t="shared" si="3"/>
        <v>5.9254584098474044E-6</v>
      </c>
      <c r="T54" s="55"/>
    </row>
    <row r="55" spans="13:20">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Properties'!F12)/$F$8)^(2/3),IF($N$80&lt;14,IF($N$79&lt;0.3,0.000001+0.0144*$N$79^2.2*N55^(-0.5),0.000001+0.00341*$N$79*N55^(-0.5)),IF($N$80&lt;=51.2,(0.000000002605*$N$80+0.0000001277)*$N$43^2*(IF(ABS('Chemical Properties'!F49)&gt;0,'Chemical Properties'!F49,'Chemical Properties'!F12)/$F$8)^(2/3),0.000000261*$N$43^2*(IF(ABS('Chemical Properties'!F49)&gt;0,'Chemical Properties'!F49,'Chemical Properties'!F12)/$F$8)^(2/3))))</f>
        <v>6.7720191672825951E-6</v>
      </c>
      <c r="Q55" s="105">
        <f t="shared" si="2"/>
        <v>1.5829275406294068E-2</v>
      </c>
      <c r="R55" s="105">
        <f>IF(ABS('Chemical Properties'!E49)&gt;0,'Chemical Properties'!E49,'Chemical Properties'!E12)/($F$5*($B$4+273.15))</f>
        <v>3.2759646347154772</v>
      </c>
      <c r="S55" s="105">
        <f t="shared" si="3"/>
        <v>6.7711349084522303E-6</v>
      </c>
      <c r="T55" s="55"/>
    </row>
    <row r="56" spans="13:20">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Properties'!F13)/$F$8)^(2/3),IF($N$80&lt;14,IF($N$79&lt;0.3,0.000001+0.0144*$N$79^2.2*N56^(-0.5),0.000001+0.00341*$N$79*N56^(-0.5)),IF($N$80&lt;=51.2,(0.000000002605*$N$80+0.0000001277)*$N$43^2*(IF(ABS('Chemical Properties'!F50)&gt;0,'Chemical Properties'!F50,'Chemical Properties'!F13)/$F$8)^(2/3),0.000000261*$N$43^2*(IF(ABS('Chemical Properties'!F50)&gt;0,'Chemical Properties'!F50,'Chemical Properties'!F13)/$F$8)^(2/3))))</f>
        <v>7.5951616262973213E-6</v>
      </c>
      <c r="Q56" s="105">
        <f t="shared" si="2"/>
        <v>1.1403160501020509E-2</v>
      </c>
      <c r="R56" s="105">
        <f>IF(ABS('Chemical Properties'!E50)&gt;0,'Chemical Properties'!E50,'Chemical Properties'!E13)/($F$5*($B$4+273.15))</f>
        <v>8.0119501492544612E-8</v>
      </c>
      <c r="S56" s="105">
        <f t="shared" si="3"/>
        <v>9.1350564996324748E-10</v>
      </c>
      <c r="T56" s="55"/>
    </row>
    <row r="57" spans="13:20">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Properties'!F14)/$F$8)^(2/3),IF($N$80&lt;14,IF($N$79&lt;0.3,0.000001+0.0144*$N$79^2.2*N57^(-0.5),0.000001+0.00341*$N$79*N57^(-0.5)),IF($N$80&lt;=51.2,(0.000000002605*$N$80+0.0000001277)*$N$43^2*(IF(ABS('Chemical Properties'!F51)&gt;0,'Chemical Properties'!F51,'Chemical Properties'!F14)/$F$8)^(2/3),0.000000261*$N$43^2*(IF(ABS('Chemical Properties'!F51)&gt;0,'Chemical Properties'!F51,'Chemical Properties'!F14)/$F$8)^(2/3))))</f>
        <v>5.9052730611342543E-6</v>
      </c>
      <c r="Q57" s="105">
        <f t="shared" si="2"/>
        <v>7.0843256937715617E-3</v>
      </c>
      <c r="R57" s="105">
        <f>IF(ABS('Chemical Properties'!E51)&gt;0,'Chemical Properties'!E51,'Chemical Properties'!E14)/($F$5*($B$4+273.15))</f>
        <v>6.1438639408202744E-3</v>
      </c>
      <c r="S57" s="105">
        <f t="shared" si="3"/>
        <v>5.1997913023969939E-6</v>
      </c>
      <c r="T57" s="55"/>
    </row>
    <row r="58" spans="13:20">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Properties'!F15)/$F$8)^(2/3),IF($N$80&lt;14,IF($N$79&lt;0.3,0.000001+0.0144*$N$79^2.2*N58^(-0.5),0.000001+0.00341*$N$79*N58^(-0.5)),IF($N$80&lt;=51.2,(0.000000002605*$N$80+0.0000001277)*$N$43^2*(IF(ABS('Chemical Properties'!F52)&gt;0,'Chemical Properties'!F52,'Chemical Properties'!F15)/$F$8)^(2/3),0.000000261*$N$43^2*(IF(ABS('Chemical Properties'!F52)&gt;0,'Chemical Properties'!F52,'Chemical Properties'!F15)/$F$8)^(2/3))))</f>
        <v>6.1506864456244684E-6</v>
      </c>
      <c r="Q58" s="105">
        <f t="shared" si="2"/>
        <v>7.8250184813944915E-3</v>
      </c>
      <c r="R58" s="105">
        <f>IF(ABS('Chemical Properties'!E52)&gt;0,'Chemical Properties'!E52,'Chemical Properties'!E15)/($F$5*($B$4+273.15))</f>
        <v>0.29554898334933111</v>
      </c>
      <c r="S58" s="105">
        <f t="shared" si="3"/>
        <v>6.1343717551895001E-6</v>
      </c>
      <c r="T58" s="55"/>
    </row>
    <row r="59" spans="13:20">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Properties'!F16)/$F$8)^(2/3),IF($N$80&lt;14,IF($N$79&lt;0.3,0.000001+0.0144*$N$79^2.2*N59^(-0.5),0.000001+0.00341*$N$79*N59^(-0.5)),IF($N$80&lt;=51.2,(0.000000002605*$N$80+0.0000001277)*$N$43^2*(IF(ABS('Chemical Properties'!F53)&gt;0,'Chemical Properties'!F53,'Chemical Properties'!F16)/$F$8)^(2/3),0.000000261*$N$43^2*(IF(ABS('Chemical Properties'!F53)&gt;0,'Chemical Properties'!F53,'Chemical Properties'!F16)/$F$8)^(2/3))))</f>
        <v>6.2983004606827457E-6</v>
      </c>
      <c r="Q59" s="105">
        <f t="shared" si="2"/>
        <v>7.520777732066674E-3</v>
      </c>
      <c r="R59" s="105">
        <f>IF(ABS('Chemical Properties'!E53)&gt;0,'Chemical Properties'!E53,'Chemical Properties'!E16)/($F$5*($B$4+273.15))</f>
        <v>1.7670624456277779E-5</v>
      </c>
      <c r="S59" s="105">
        <f t="shared" si="3"/>
        <v>1.3015060537174903E-7</v>
      </c>
      <c r="T59" s="55"/>
    </row>
    <row r="60" spans="13:20">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Properties'!F17)/$F$8)^(2/3),IF($N$80&lt;14,IF($N$79&lt;0.3,0.000001+0.0144*$N$79^2.2*N60^(-0.5),0.000001+0.00341*$N$79*N60^(-0.5)),IF($N$80&lt;=51.2,(0.000000002605*$N$80+0.0000001277)*$N$43^2*(IF(ABS('Chemical Properties'!F54)&gt;0,'Chemical Properties'!F54,'Chemical Properties'!F17)/$F$8)^(2/3),0.000000261*$N$43^2*(IF(ABS('Chemical Properties'!F54)&gt;0,'Chemical Properties'!F54,'Chemical Properties'!F17)/$F$8)^(2/3))))</f>
        <v>5.8958307558225031E-6</v>
      </c>
      <c r="Q60" s="105">
        <f t="shared" si="2"/>
        <v>1.3667767100611246E-2</v>
      </c>
      <c r="R60" s="105">
        <f>IF(ABS('Chemical Properties'!E54)&gt;0,'Chemical Properties'!E54,'Chemical Properties'!E17)/($F$5*($B$4+273.15))</f>
        <v>5.4302674651533724</v>
      </c>
      <c r="S60" s="105">
        <f t="shared" si="3"/>
        <v>5.8953624422680989E-6</v>
      </c>
      <c r="T60" s="55"/>
    </row>
    <row r="61" spans="13:20">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Properties'!F18)/$F$8)^(2/3),IF($N$80&lt;14,IF($N$79&lt;0.3,0.000001+0.0144*$N$79^2.2*N61^(-0.5),0.000001+0.00341*$N$79*N61^(-0.5)),IF($N$80&lt;=51.2,(0.000000002605*$N$80+0.0000001277)*$N$43^2*(IF(ABS('Chemical Properties'!F55)&gt;0,'Chemical Properties'!F55,'Chemical Properties'!F18)/$F$8)^(2/3),0.000000261*$N$43^2*(IF(ABS('Chemical Properties'!F55)&gt;0,'Chemical Properties'!F55,'Chemical Properties'!F18)/$F$8)^(2/3))))</f>
        <v>6.3562071035279762E-6</v>
      </c>
      <c r="Q61" s="105">
        <f t="shared" si="2"/>
        <v>6.7254030716589423E-3</v>
      </c>
      <c r="R61" s="105">
        <f>IF(ABS('Chemical Properties'!E55)&gt;0,'Chemical Properties'!E55,'Chemical Properties'!E18)/($F$5*($B$4+273.15))</f>
        <v>7.2106830274987411E-5</v>
      </c>
      <c r="S61" s="105">
        <f t="shared" si="3"/>
        <v>4.5057112579626253E-7</v>
      </c>
      <c r="T61" s="55"/>
    </row>
    <row r="62" spans="13:20">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Properties'!F19)/$F$8)^(2/3),IF($N$80&lt;14,IF($N$79&lt;0.3,0.000001+0.0144*$N$79^2.2*N62^(-0.5),0.000001+0.00341*$N$79*N62^(-0.5)),IF($N$80&lt;=51.2,(0.000000002605*$N$80+0.0000001277)*$N$43^2*(IF(ABS('Chemical Properties'!F56)&gt;0,'Chemical Properties'!F56,'Chemical Properties'!F19)/$F$8)^(2/3),0.000000261*$N$43^2*(IF(ABS('Chemical Properties'!F56)&gt;0,'Chemical Properties'!F56,'Chemical Properties'!F19)/$F$8)^(2/3))))</f>
        <v>6.3677134693206245E-6</v>
      </c>
      <c r="Q62" s="105">
        <f t="shared" si="2"/>
        <v>6.8546498432841933E-3</v>
      </c>
      <c r="R62" s="105">
        <f>IF(ABS('Chemical Properties'!E56)&gt;0,'Chemical Properties'!E56,'Chemical Properties'!E19)/($F$5*($B$4+273.15))</f>
        <v>0.2688978823007323</v>
      </c>
      <c r="S62" s="105">
        <f t="shared" si="3"/>
        <v>6.3457906403228562E-6</v>
      </c>
      <c r="T62" s="55"/>
    </row>
    <row r="63" spans="13:20">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Properties'!F20)/$F$8)^(2/3),IF($N$80&lt;14,IF($N$79&lt;0.3,0.000001+0.0144*$N$79^2.2*N63^(-0.5),0.000001+0.00341*$N$79*N63^(-0.5)),IF($N$80&lt;=51.2,(0.000000002605*$N$80+0.0000001277)*$N$43^2*(IF(ABS('Chemical Properties'!F57)&gt;0,'Chemical Properties'!F57,'Chemical Properties'!F20)/$F$8)^(2/3),0.000000261*$N$43^2*(IF(ABS('Chemical Properties'!F57)&gt;0,'Chemical Properties'!F57,'Chemical Properties'!F20)/$F$8)^(2/3))))</f>
        <v>6.6912876505373404E-6</v>
      </c>
      <c r="Q63" s="105">
        <f t="shared" si="2"/>
        <v>8.7278735119411498E-3</v>
      </c>
      <c r="R63" s="105">
        <f>IF(ABS('Chemical Properties'!E57)&gt;0,'Chemical Properties'!E57,'Chemical Properties'!E20)/($F$5*($B$4+273.15))</f>
        <v>2.4708851981368841E-2</v>
      </c>
      <c r="S63" s="105">
        <f t="shared" si="3"/>
        <v>6.4899207514210185E-6</v>
      </c>
      <c r="T63" s="55"/>
    </row>
    <row r="64" spans="13:20">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Properties'!F21)/$F$8)^(2/3),IF($N$80&lt;14,IF($N$79&lt;0.3,0.000001+0.0144*$N$79^2.2*N64^(-0.5),0.000001+0.00341*$N$79*N64^(-0.5)),IF($N$80&lt;=51.2,(0.000000002605*$N$80+0.0000001277)*$N$43^2*(IF(ABS('Chemical Properties'!F58)&gt;0,'Chemical Properties'!F58,'Chemical Properties'!F21)/$F$8)^(2/3),0.000000261*$N$43^2*(IF(ABS('Chemical Properties'!F58)&gt;0,'Chemical Properties'!F58,'Chemical Properties'!F21)/$F$8)^(2/3))))</f>
        <v>6.0294768448333194E-6</v>
      </c>
      <c r="Q64" s="105">
        <f t="shared" si="2"/>
        <v>4.6804001793983429E-3</v>
      </c>
      <c r="R64" s="105">
        <f>IF(ABS('Chemical Properties'!E58)&gt;0,'Chemical Properties'!E58,'Chemical Properties'!E21)/($F$5*($B$4+273.15))</f>
        <v>1.2462908936417575E-2</v>
      </c>
      <c r="S64" s="105">
        <f t="shared" si="3"/>
        <v>5.4646214215632429E-6</v>
      </c>
      <c r="T64" s="55"/>
    </row>
    <row r="65" spans="9:20">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Properties'!F22)/$F$8)^(2/3),IF($N$80&lt;14,IF($N$79&lt;0.3,0.000001+0.0144*$N$79^2.2*N65^(-0.5),0.000001+0.00341*$N$79*N65^(-0.5)),IF($N$80&lt;=51.2,(0.000000002605*$N$80+0.0000001277)*$N$43^2*(IF(ABS('Chemical Properties'!F59)&gt;0,'Chemical Properties'!F59,'Chemical Properties'!F22)/$F$8)^(2/3),0.000000261*$N$43^2*(IF(ABS('Chemical Properties'!F59)&gt;0,'Chemical Properties'!F59,'Chemical Properties'!F22)/$F$8)^(2/3))))</f>
        <v>7.3326802914576154E-6</v>
      </c>
      <c r="Q65" s="105">
        <f t="shared" si="2"/>
        <v>1.185340671040507E-2</v>
      </c>
      <c r="R65" s="105">
        <f>IF(ABS('Chemical Properties'!E59)&gt;0,'Chemical Properties'!E59,'Chemical Properties'!E22)/($F$5*($B$4+273.15))</f>
        <v>2.1899111416848029</v>
      </c>
      <c r="S65" s="105">
        <f t="shared" si="3"/>
        <v>7.3306095152951432E-6</v>
      </c>
      <c r="T65" s="55"/>
    </row>
    <row r="66" spans="9:20">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Properties'!F23)/$F$8)^(2/3),IF($N$80&lt;14,IF($N$79&lt;0.3,0.000001+0.0144*$N$79^2.2*N66^(-0.5),0.000001+0.00341*$N$79*N66^(-0.5)),IF($N$80&lt;=51.2,(0.000000002605*$N$80+0.0000001277)*$N$43^2*(IF(ABS('Chemical Properties'!F60)&gt;0,'Chemical Properties'!F60,'Chemical Properties'!F23)/$F$8)^(2/3),0.000000261*$N$43^2*(IF(ABS('Chemical Properties'!F60)&gt;0,'Chemical Properties'!F60,'Chemical Properties'!F23)/$F$8)^(2/3))))</f>
        <v>6.5262876172455218E-6</v>
      </c>
      <c r="Q66" s="105">
        <f t="shared" si="2"/>
        <v>8.819009491745626E-3</v>
      </c>
      <c r="R66" s="105">
        <f>IF(ABS('Chemical Properties'!E60)&gt;0,'Chemical Properties'!E60,'Chemical Properties'!E23)/($F$5*($B$4+273.15))</f>
        <v>6.2314544682087886E-2</v>
      </c>
      <c r="S66" s="105">
        <f t="shared" si="3"/>
        <v>6.4496933893460112E-6</v>
      </c>
      <c r="T66" s="55"/>
    </row>
    <row r="67" spans="9:20">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Properties'!F24)/$F$8)^(2/3),IF($N$80&lt;14,IF($N$79&lt;0.3,0.000001+0.0144*$N$79^2.2*N67^(-0.5),0.000001+0.00341*$N$79*N67^(-0.5)),IF($N$80&lt;=51.2,(0.000000002605*$N$80+0.0000001277)*$N$43^2*(IF(ABS('Chemical Properties'!F61)&gt;0,'Chemical Properties'!F61,'Chemical Properties'!F24)/$F$8)^(2/3),0.000000261*$N$43^2*(IF(ABS('Chemical Properties'!F61)&gt;0,'Chemical Properties'!F61,'Chemical Properties'!F24)/$F$8)^(2/3))))</f>
        <v>6.4983062343247953E-6</v>
      </c>
      <c r="Q67" s="105">
        <f t="shared" si="2"/>
        <v>6.7901779241890045E-3</v>
      </c>
      <c r="R67" s="105">
        <f>IF(ABS('Chemical Properties'!E61)&gt;0,'Chemical Properties'!E61,'Chemical Properties'!E24)/($F$5*($B$4+273.15))</f>
        <v>1.7225520565691436E-9</v>
      </c>
      <c r="S67" s="105">
        <f t="shared" si="3"/>
        <v>1.1696413895166406E-11</v>
      </c>
      <c r="T67" s="55"/>
    </row>
    <row r="68" spans="9:20">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Properties'!F25)/$F$8)^(2/3),IF($N$80&lt;14,IF($N$79&lt;0.3,0.000001+0.0144*$N$79^2.2*N68^(-0.5),0.000001+0.00341*$N$79*N68^(-0.5)),IF($N$80&lt;=51.2,(0.000000002605*$N$80+0.0000001277)*$N$43^2*(IF(ABS('Chemical Properties'!F62)&gt;0,'Chemical Properties'!F62,'Chemical Properties'!F25)/$F$8)^(2/3),0.000000261*$N$43^2*(IF(ABS('Chemical Properties'!F62)&gt;0,'Chemical Properties'!F62,'Chemical Properties'!F25)/$F$8)^(2/3))))</f>
        <v>5.508775319396998E-6</v>
      </c>
      <c r="Q68" s="105">
        <f t="shared" si="2"/>
        <v>6.9763319267841465E-3</v>
      </c>
      <c r="R68" s="105">
        <f>IF(ABS('Chemical Properties'!E62)&gt;0,'Chemical Properties'!E62,'Chemical Properties'!E25)/($F$5*($B$4+273.15))</f>
        <v>134.86647884766163</v>
      </c>
      <c r="S68" s="105">
        <f t="shared" si="3"/>
        <v>5.5087430659287311E-6</v>
      </c>
      <c r="T68" s="55"/>
    </row>
    <row r="69" spans="9:20">
      <c r="M69" s="65" t="s">
        <v>59</v>
      </c>
      <c r="N69" s="105" t="e">
        <f>$F$3/($F$4*IF(ABS('Chemical Properties'!F63)&gt;0,'Chemical Properties'!F63,'Chemical Properties'!F26))</f>
        <v>#DIV/0!</v>
      </c>
      <c r="O69" s="105" t="e">
        <f>$F$6/($F$7*IF(ABS('Chemical Properties'!G63)&gt;0,'Chemical Properties'!G63,'Chemical Properties'!G26))</f>
        <v>#DIV/0!</v>
      </c>
      <c r="P69" s="105" t="e">
        <f>IF($N$43&lt;3.25,0.00000278*(IF(ABS('Chemical Properties'!F63)&gt;0,'Chemical Properties'!F63,'Chemical Properties'!F26)/$F$8)^(2/3),IF($N$80&lt;14,IF($N$79&lt;0.3,0.000001+0.0144*$N$79^2.2*N69^(-0.5),0.000001+0.00341*$N$79*N69^(-0.5)),IF($N$80&lt;=51.2,(0.000000002605*$N$80+0.0000001277)*$N$43^2*(IF(ABS('Chemical Properties'!F63)&gt;0,'Chemical Properties'!F63,'Chemical Properties'!F26)/$F$8)^(2/3),0.000000261*$N$43^2*(IF(ABS('Chemical Properties'!F63)&gt;0,'Chemical Properties'!F63,'Chemical Properties'!F26)/$F$8)^(2/3))))</f>
        <v>#DIV/0!</v>
      </c>
      <c r="Q69" s="105" t="e">
        <f t="shared" si="2"/>
        <v>#DIV/0!</v>
      </c>
      <c r="R69" s="105">
        <f>IF(ABS('Chemical Properties'!E63)&gt;0,'Chemical Properties'!E63,'Chemical Properties'!E26)/($F$5*($B$4+273.15))</f>
        <v>0</v>
      </c>
      <c r="S69" s="105" t="e">
        <f>(P69*R69*Q69)/(R69*Q69+P69)</f>
        <v>#DIV/0!</v>
      </c>
      <c r="T69" s="55"/>
    </row>
    <row r="70" spans="9:20">
      <c r="M70" s="81" t="s">
        <v>60</v>
      </c>
      <c r="N70" s="105" t="e">
        <f>$F$3/($F$4*IF(ABS('Chemical Properties'!F64)&gt;0,'Chemical Properties'!F64,'Chemical Properties'!F27))</f>
        <v>#DIV/0!</v>
      </c>
      <c r="O70" s="105" t="e">
        <f>$F$6/($F$7*IF(ABS('Chemical Properties'!G64)&gt;0,'Chemical Properties'!G64,'Chemical Properties'!G27))</f>
        <v>#DIV/0!</v>
      </c>
      <c r="P70" s="105" t="e">
        <f>IF($N$43&lt;3.25,0.00000278*(IF(ABS('Chemical Properties'!F64)&gt;0,'Chemical Properties'!F64,'Chemical Properties'!F27)/$F$8)^(2/3),IF($N$80&lt;14,IF($N$79&lt;0.3,0.000001+0.0144*$N$79^2.2*N70^(-0.5),0.000001+0.00341*$N$79*N70^(-0.5)),IF($N$80&lt;=51.2,(0.000000002605*$N$80+0.0000001277)*$N$43^2*(IF(ABS('Chemical Properties'!F64)&gt;0,'Chemical Properties'!F64,'Chemical Properties'!F27)/$F$8)^(2/3),0.000000261*$N$43^2*(IF(ABS('Chemical Properties'!F64)&gt;0,'Chemical Properties'!F64,'Chemical Properties'!F27)/$F$8)^(2/3))))</f>
        <v>#DIV/0!</v>
      </c>
      <c r="Q70" s="105" t="e">
        <f t="shared" si="2"/>
        <v>#DIV/0!</v>
      </c>
      <c r="R70" s="105">
        <f>IF(ABS('Chemical Properties'!E64)&gt;0,'Chemical Properties'!E64,'Chemical Properties'!E27)/($F$5*($B$4+273.15))</f>
        <v>0</v>
      </c>
      <c r="S70" s="105" t="e">
        <f>(P70*R70*Q70)/(R70*Q70+P70)</f>
        <v>#DIV/0!</v>
      </c>
      <c r="T70" s="55"/>
    </row>
    <row r="71" spans="9:20">
      <c r="M71" s="65" t="s">
        <v>61</v>
      </c>
      <c r="N71" s="105" t="e">
        <f>$F$3/($F$4*IF(ABS('Chemical Properties'!F65)&gt;0,'Chemical Properties'!F65,'Chemical Properties'!F28))</f>
        <v>#DIV/0!</v>
      </c>
      <c r="O71" s="105" t="e">
        <f>$F$6/($F$7*IF(ABS('Chemical Properties'!G65)&gt;0,'Chemical Properties'!G65,'Chemical Properties'!G28))</f>
        <v>#DIV/0!</v>
      </c>
      <c r="P71" s="105" t="e">
        <f>IF($N$43&lt;3.25,0.00000278*(IF(ABS('Chemical Properties'!F65)&gt;0,'Chemical Properties'!F65,'Chemical Properties'!F28)/$F$8)^(2/3),IF($N$80&lt;14,IF($N$79&lt;0.3,0.000001+0.0144*$N$79^2.2*N71^(-0.5),0.000001+0.00341*$N$79*N71^(-0.5)),IF($N$80&lt;=51.2,(0.000000002605*$N$80+0.0000001277)*$N$43^2*(IF(ABS('Chemical Properties'!F65)&gt;0,'Chemical Properties'!F65,'Chemical Properties'!F28)/$F$8)^(2/3),0.000000261*$N$43^2*(IF(ABS('Chemical Properties'!F65)&gt;0,'Chemical Properties'!F65,'Chemical Properties'!F28)/$F$8)^(2/3))))</f>
        <v>#DIV/0!</v>
      </c>
      <c r="Q71" s="105" t="e">
        <f t="shared" si="2"/>
        <v>#DIV/0!</v>
      </c>
      <c r="R71" s="105">
        <f>IF(ABS('Chemical Properties'!E65)&gt;0,'Chemical Properties'!E65,'Chemical Properties'!E28)/($F$5*($B$4+273.15))</f>
        <v>0</v>
      </c>
      <c r="S71" s="105" t="e">
        <f>(P71*R71*Q71)/(R71*Q71+P71)</f>
        <v>#DIV/0!</v>
      </c>
      <c r="T71" s="55"/>
    </row>
    <row r="72" spans="9:20">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Properties'!F29)/$F$8)^(2/3),IF($N$80&lt;14,IF($N$79&lt;0.3,0.000001+0.0144*$N$79^2.2*N72^(-0.5),0.000001+0.00341*$N$79*N72^(-0.5)),IF($N$80&lt;=51.2,(0.000000002605*$N$80+0.0000001277)*$N$43^2*(IF(ABS('Chemical Properties'!F66)&gt;0,'Chemical Properties'!F66,'Chemical Properties'!F29)/$F$8)^(2/3),0.000000261*$N$43^2*(IF(ABS('Chemical Properties'!F66)&gt;0,'Chemical Properties'!F66,'Chemical Properties'!F29)/$F$8)^(2/3))))</f>
        <v>6.6368243148909902E-6</v>
      </c>
      <c r="Q72" s="105">
        <f t="shared" si="2"/>
        <v>8.5441781111178991E-3</v>
      </c>
      <c r="R72" s="105">
        <f>IF(ABS('Chemical Properties'!E66)&gt;0,'Chemical Properties'!E66,'Chemical Properties'!E29)/($F$5*($B$4+273.15))</f>
        <v>42.28486960570249</v>
      </c>
      <c r="S72" s="105">
        <f>(P72*R72*Q72)/(R72*Q72+P72)</f>
        <v>6.6367023998254779E-6</v>
      </c>
      <c r="T72" s="55"/>
    </row>
    <row r="73" spans="9:20">
      <c r="L73" s="55"/>
      <c r="T73" s="55"/>
    </row>
    <row r="74" spans="9:20">
      <c r="L74" s="55"/>
      <c r="M74" s="91"/>
      <c r="N74" s="107"/>
      <c r="O74" s="107"/>
      <c r="P74" s="107"/>
      <c r="Q74" s="107"/>
      <c r="R74" s="107"/>
      <c r="S74" s="107"/>
      <c r="T74" s="55"/>
    </row>
    <row r="75" spans="9:20">
      <c r="L75" s="55"/>
      <c r="P75" s="55"/>
      <c r="Q75" s="55"/>
      <c r="R75" s="85"/>
      <c r="S75" s="55"/>
      <c r="T75" s="55"/>
    </row>
    <row r="76" spans="9:20">
      <c r="L76" s="55"/>
      <c r="P76" s="55"/>
      <c r="Q76" s="55"/>
      <c r="R76" s="85"/>
      <c r="S76" s="55"/>
      <c r="T76" s="55"/>
    </row>
    <row r="77" spans="9:20">
      <c r="L77" s="55"/>
      <c r="M77" s="55"/>
      <c r="N77" s="55"/>
      <c r="O77" s="55"/>
      <c r="P77" s="55"/>
      <c r="Q77" s="55"/>
      <c r="R77" s="55"/>
      <c r="S77" s="55"/>
      <c r="T77" s="55"/>
    </row>
    <row r="78" spans="9:20" ht="15.75">
      <c r="L78" s="55"/>
      <c r="M78" s="309" t="s">
        <v>88</v>
      </c>
      <c r="N78" s="309"/>
      <c r="O78" s="309"/>
      <c r="P78" s="55"/>
      <c r="Q78" s="55"/>
      <c r="R78" s="55"/>
      <c r="S78" s="55"/>
      <c r="T78" s="55"/>
    </row>
    <row r="79" spans="9:20">
      <c r="I79" s="88"/>
      <c r="J79" s="88"/>
      <c r="K79" s="88"/>
      <c r="L79" s="55"/>
      <c r="M79" s="71" t="s">
        <v>87</v>
      </c>
      <c r="N79" s="99">
        <f>0.01*$N$43*(6.1+0.63*$N$43)^0.5</f>
        <v>0.13150584507470001</v>
      </c>
      <c r="O79" s="71" t="s">
        <v>0</v>
      </c>
      <c r="P79" s="55"/>
      <c r="Q79" s="55"/>
      <c r="R79" s="55"/>
      <c r="S79" s="55"/>
      <c r="T79" s="55"/>
    </row>
    <row r="80" spans="9:20">
      <c r="I80" s="88"/>
      <c r="J80" s="88"/>
      <c r="K80" s="88"/>
      <c r="L80" s="55"/>
      <c r="M80" s="71" t="s">
        <v>54</v>
      </c>
      <c r="N80" s="99">
        <f>2*($B$3/PI())^0.5/$B$7</f>
        <v>5.3192304053524362</v>
      </c>
      <c r="O80" s="71"/>
      <c r="P80" s="55"/>
      <c r="Q80" s="55"/>
      <c r="R80" s="55"/>
      <c r="S80" s="55"/>
      <c r="T80" s="55"/>
    </row>
    <row r="81" spans="9:20" ht="16.5" customHeight="1">
      <c r="I81" s="88"/>
      <c r="J81" s="131"/>
      <c r="K81" s="88"/>
      <c r="L81" s="55"/>
      <c r="M81" s="55"/>
      <c r="N81" s="55"/>
      <c r="O81" s="55"/>
      <c r="P81" s="55"/>
      <c r="Q81" s="55"/>
      <c r="R81" s="55"/>
      <c r="S81" s="55"/>
      <c r="T81" s="55"/>
    </row>
    <row r="82" spans="9:20">
      <c r="I82" s="88"/>
      <c r="J82" s="88"/>
      <c r="K82" s="88"/>
      <c r="M82" s="55"/>
      <c r="N82" s="55"/>
      <c r="O82" s="55"/>
      <c r="P82" s="55"/>
      <c r="Q82" s="55"/>
      <c r="R82" s="55"/>
      <c r="S82" s="55"/>
    </row>
    <row r="83" spans="9:20">
      <c r="I83" s="88"/>
      <c r="J83" s="88"/>
      <c r="K83" s="88"/>
      <c r="M83" s="134" t="s">
        <v>159</v>
      </c>
      <c r="N83" s="134"/>
      <c r="O83" s="134"/>
      <c r="P83" s="134"/>
      <c r="Q83" s="134"/>
      <c r="R83" s="134"/>
      <c r="S83" s="135"/>
      <c r="T83" s="135"/>
    </row>
    <row r="84" spans="9:20" ht="38.25">
      <c r="M84" s="128" t="s">
        <v>153</v>
      </c>
      <c r="N84" s="129" t="s">
        <v>155</v>
      </c>
      <c r="O84" s="129" t="s">
        <v>156</v>
      </c>
      <c r="P84" s="129" t="s">
        <v>157</v>
      </c>
      <c r="Q84" s="129" t="s">
        <v>158</v>
      </c>
      <c r="R84" s="129" t="s">
        <v>154</v>
      </c>
      <c r="S84" s="88"/>
      <c r="T84" s="132"/>
    </row>
    <row r="85" spans="9:20">
      <c r="M85" s="60" t="s">
        <v>17</v>
      </c>
      <c r="N85" s="72">
        <f>$B$6*B12</f>
        <v>0.02</v>
      </c>
      <c r="O85" s="127">
        <f>M3*$B$6</f>
        <v>1.9456369239643796E-2</v>
      </c>
      <c r="P85" s="127">
        <f>K3</f>
        <v>5.4363076035620381E-4</v>
      </c>
      <c r="Q85" s="130">
        <f t="shared" ref="Q85:Q106" si="4">O85/N85*100</f>
        <v>97.281846198218986</v>
      </c>
      <c r="R85" s="130">
        <f t="shared" ref="R85:R106" si="5">P85/N85*100</f>
        <v>2.718153801781019</v>
      </c>
      <c r="S85" s="88"/>
      <c r="T85" s="133"/>
    </row>
    <row r="86" spans="9:20">
      <c r="M86" s="62" t="s">
        <v>6</v>
      </c>
      <c r="N86" s="72">
        <f t="shared" ref="N86:N106" si="6">$B$6*B13</f>
        <v>0.02</v>
      </c>
      <c r="O86" s="127">
        <f t="shared" ref="O86:O106" si="7">M4*$B$6</f>
        <v>1.4835059708478036E-3</v>
      </c>
      <c r="P86" s="127">
        <f t="shared" ref="P86:P106" si="8">K4</f>
        <v>1.8516494029152199E-2</v>
      </c>
      <c r="Q86" s="130">
        <f t="shared" si="4"/>
        <v>7.4175298542390173</v>
      </c>
      <c r="R86" s="130">
        <f t="shared" si="5"/>
        <v>92.582470145760993</v>
      </c>
      <c r="S86" s="88"/>
      <c r="T86" s="133"/>
    </row>
    <row r="87" spans="9:20">
      <c r="M87" s="62" t="s">
        <v>13</v>
      </c>
      <c r="N87" s="72">
        <f t="shared" si="6"/>
        <v>0.02</v>
      </c>
      <c r="O87" s="127">
        <f t="shared" si="7"/>
        <v>2.927023288034003E-4</v>
      </c>
      <c r="P87" s="127">
        <f t="shared" si="8"/>
        <v>1.97072976711966E-2</v>
      </c>
      <c r="Q87" s="130">
        <f t="shared" si="4"/>
        <v>1.4635116440170015</v>
      </c>
      <c r="R87" s="130">
        <f t="shared" si="5"/>
        <v>98.536488355982996</v>
      </c>
      <c r="S87" s="88"/>
      <c r="T87" s="133"/>
    </row>
    <row r="88" spans="9:20">
      <c r="M88" s="60" t="s">
        <v>69</v>
      </c>
      <c r="N88" s="72">
        <f t="shared" si="6"/>
        <v>0.02</v>
      </c>
      <c r="O88" s="127">
        <f t="shared" si="7"/>
        <v>1.7057326761547947E-2</v>
      </c>
      <c r="P88" s="127">
        <f t="shared" si="8"/>
        <v>2.9426732384520535E-3</v>
      </c>
      <c r="Q88" s="130">
        <f t="shared" si="4"/>
        <v>85.286633807739733</v>
      </c>
      <c r="R88" s="130">
        <f t="shared" si="5"/>
        <v>14.713366192260265</v>
      </c>
      <c r="S88" s="88"/>
      <c r="T88" s="133"/>
    </row>
    <row r="89" spans="9:20">
      <c r="M89" s="62" t="s">
        <v>9</v>
      </c>
      <c r="N89" s="72">
        <f t="shared" si="6"/>
        <v>0.02</v>
      </c>
      <c r="O89" s="127">
        <f t="shared" si="7"/>
        <v>9.3873147968018388E-3</v>
      </c>
      <c r="P89" s="127">
        <f t="shared" si="8"/>
        <v>1.0612685203198162E-2</v>
      </c>
      <c r="Q89" s="130">
        <f t="shared" si="4"/>
        <v>46.936573984009193</v>
      </c>
      <c r="R89" s="130">
        <f t="shared" si="5"/>
        <v>53.063426015990814</v>
      </c>
      <c r="S89" s="88"/>
      <c r="T89" s="133"/>
    </row>
    <row r="90" spans="9:20">
      <c r="M90" s="63" t="s">
        <v>7</v>
      </c>
      <c r="N90" s="72">
        <f t="shared" si="6"/>
        <v>0.02</v>
      </c>
      <c r="O90" s="127">
        <f t="shared" si="7"/>
        <v>5.9613726786339797E-4</v>
      </c>
      <c r="P90" s="127">
        <f t="shared" si="8"/>
        <v>1.9403862732136602E-2</v>
      </c>
      <c r="Q90" s="130">
        <f t="shared" si="4"/>
        <v>2.98068633931699</v>
      </c>
      <c r="R90" s="130">
        <f t="shared" si="5"/>
        <v>97.019313660683011</v>
      </c>
      <c r="S90" s="88"/>
      <c r="T90" s="133"/>
    </row>
    <row r="91" spans="9:20">
      <c r="M91" s="62" t="s">
        <v>8</v>
      </c>
      <c r="N91" s="72">
        <f t="shared" si="6"/>
        <v>0.02</v>
      </c>
      <c r="O91" s="127">
        <f t="shared" si="7"/>
        <v>1.0754997600503995E-3</v>
      </c>
      <c r="P91" s="127">
        <f t="shared" si="8"/>
        <v>1.8924500239949602E-2</v>
      </c>
      <c r="Q91" s="130">
        <f t="shared" si="4"/>
        <v>5.3774988002519972</v>
      </c>
      <c r="R91" s="130">
        <f t="shared" si="5"/>
        <v>94.622501199748015</v>
      </c>
      <c r="S91" s="88"/>
      <c r="T91" s="133"/>
    </row>
    <row r="92" spans="9:20">
      <c r="M92" s="62" t="s">
        <v>11</v>
      </c>
      <c r="N92" s="72">
        <f t="shared" si="6"/>
        <v>0</v>
      </c>
      <c r="O92" s="127">
        <f t="shared" si="7"/>
        <v>0</v>
      </c>
      <c r="P92" s="127">
        <f t="shared" si="8"/>
        <v>0</v>
      </c>
      <c r="Q92" s="130" t="e">
        <f t="shared" si="4"/>
        <v>#DIV/0!</v>
      </c>
      <c r="R92" s="130" t="e">
        <f t="shared" si="5"/>
        <v>#DIV/0!</v>
      </c>
      <c r="S92" s="88"/>
      <c r="T92" s="133"/>
    </row>
    <row r="93" spans="9:20">
      <c r="M93" s="63" t="s">
        <v>70</v>
      </c>
      <c r="N93" s="72">
        <f t="shared" si="6"/>
        <v>0</v>
      </c>
      <c r="O93" s="127">
        <f t="shared" si="7"/>
        <v>0</v>
      </c>
      <c r="P93" s="127">
        <f t="shared" si="8"/>
        <v>0</v>
      </c>
      <c r="Q93" s="130" t="e">
        <f t="shared" si="4"/>
        <v>#DIV/0!</v>
      </c>
      <c r="R93" s="130" t="e">
        <f t="shared" si="5"/>
        <v>#DIV/0!</v>
      </c>
      <c r="S93" s="88"/>
      <c r="T93" s="133"/>
    </row>
    <row r="94" spans="9:20">
      <c r="M94" s="63" t="s">
        <v>16</v>
      </c>
      <c r="N94" s="72">
        <f t="shared" si="6"/>
        <v>0</v>
      </c>
      <c r="O94" s="127">
        <f t="shared" si="7"/>
        <v>0</v>
      </c>
      <c r="P94" s="127">
        <f t="shared" si="8"/>
        <v>0</v>
      </c>
      <c r="Q94" s="130" t="e">
        <f t="shared" si="4"/>
        <v>#DIV/0!</v>
      </c>
      <c r="R94" s="130" t="e">
        <f t="shared" si="5"/>
        <v>#DIV/0!</v>
      </c>
      <c r="S94" s="88"/>
      <c r="T94" s="133"/>
    </row>
    <row r="95" spans="9:20">
      <c r="M95" s="60" t="s">
        <v>71</v>
      </c>
      <c r="N95" s="72">
        <f t="shared" si="6"/>
        <v>0</v>
      </c>
      <c r="O95" s="127">
        <f t="shared" si="7"/>
        <v>0</v>
      </c>
      <c r="P95" s="127">
        <f t="shared" si="8"/>
        <v>0</v>
      </c>
      <c r="Q95" s="130" t="e">
        <f t="shared" si="4"/>
        <v>#DIV/0!</v>
      </c>
      <c r="R95" s="130" t="e">
        <f t="shared" si="5"/>
        <v>#DIV/0!</v>
      </c>
      <c r="S95" s="88"/>
      <c r="T95" s="133"/>
    </row>
    <row r="96" spans="9:20">
      <c r="M96" s="62" t="s">
        <v>12</v>
      </c>
      <c r="N96" s="72">
        <f t="shared" si="6"/>
        <v>0</v>
      </c>
      <c r="O96" s="127">
        <f t="shared" si="7"/>
        <v>0</v>
      </c>
      <c r="P96" s="127">
        <f t="shared" si="8"/>
        <v>0</v>
      </c>
      <c r="Q96" s="130" t="e">
        <f t="shared" si="4"/>
        <v>#DIV/0!</v>
      </c>
      <c r="R96" s="130" t="e">
        <f t="shared" si="5"/>
        <v>#DIV/0!</v>
      </c>
      <c r="S96" s="88"/>
      <c r="T96" s="133"/>
    </row>
    <row r="97" spans="13:20">
      <c r="M97" s="62" t="s">
        <v>10</v>
      </c>
      <c r="N97" s="72">
        <f t="shared" si="6"/>
        <v>0</v>
      </c>
      <c r="O97" s="127">
        <f t="shared" si="7"/>
        <v>0</v>
      </c>
      <c r="P97" s="127">
        <f t="shared" si="8"/>
        <v>0</v>
      </c>
      <c r="Q97" s="130" t="e">
        <f t="shared" si="4"/>
        <v>#DIV/0!</v>
      </c>
      <c r="R97" s="130" t="e">
        <f t="shared" si="5"/>
        <v>#DIV/0!</v>
      </c>
      <c r="S97" s="88"/>
      <c r="T97" s="133"/>
    </row>
    <row r="98" spans="13:20">
      <c r="M98" s="63" t="s">
        <v>72</v>
      </c>
      <c r="N98" s="72">
        <f t="shared" si="6"/>
        <v>0</v>
      </c>
      <c r="O98" s="127">
        <f t="shared" si="7"/>
        <v>0</v>
      </c>
      <c r="P98" s="127">
        <f t="shared" si="8"/>
        <v>0</v>
      </c>
      <c r="Q98" s="130" t="e">
        <f t="shared" si="4"/>
        <v>#DIV/0!</v>
      </c>
      <c r="R98" s="130" t="e">
        <f t="shared" si="5"/>
        <v>#DIV/0!</v>
      </c>
      <c r="S98" s="88"/>
      <c r="T98" s="133"/>
    </row>
    <row r="99" spans="13:20">
      <c r="M99" s="63" t="s">
        <v>73</v>
      </c>
      <c r="N99" s="72">
        <f t="shared" si="6"/>
        <v>0</v>
      </c>
      <c r="O99" s="127">
        <f t="shared" si="7"/>
        <v>0</v>
      </c>
      <c r="P99" s="127">
        <f t="shared" si="8"/>
        <v>0</v>
      </c>
      <c r="Q99" s="130" t="e">
        <f t="shared" si="4"/>
        <v>#DIV/0!</v>
      </c>
      <c r="R99" s="130" t="e">
        <f t="shared" si="5"/>
        <v>#DIV/0!</v>
      </c>
      <c r="S99" s="88"/>
      <c r="T99" s="133"/>
    </row>
    <row r="100" spans="13:20">
      <c r="M100" s="64" t="s">
        <v>74</v>
      </c>
      <c r="N100" s="72">
        <f t="shared" si="6"/>
        <v>0</v>
      </c>
      <c r="O100" s="127">
        <f t="shared" si="7"/>
        <v>0</v>
      </c>
      <c r="P100" s="127">
        <f t="shared" si="8"/>
        <v>0</v>
      </c>
      <c r="Q100" s="130" t="e">
        <f t="shared" si="4"/>
        <v>#DIV/0!</v>
      </c>
      <c r="R100" s="130" t="e">
        <f t="shared" si="5"/>
        <v>#DIV/0!</v>
      </c>
      <c r="S100" s="88"/>
      <c r="T100" s="133"/>
    </row>
    <row r="101" spans="13:20">
      <c r="M101" s="63" t="s">
        <v>75</v>
      </c>
      <c r="N101" s="72">
        <f t="shared" si="6"/>
        <v>0</v>
      </c>
      <c r="O101" s="127">
        <f t="shared" si="7"/>
        <v>0</v>
      </c>
      <c r="P101" s="127">
        <f t="shared" si="8"/>
        <v>0</v>
      </c>
      <c r="Q101" s="130" t="e">
        <f t="shared" si="4"/>
        <v>#DIV/0!</v>
      </c>
      <c r="R101" s="130" t="e">
        <f t="shared" si="5"/>
        <v>#DIV/0!</v>
      </c>
      <c r="S101" s="88"/>
      <c r="T101" s="133"/>
    </row>
    <row r="102" spans="13:20">
      <c r="M102" s="64" t="s">
        <v>78</v>
      </c>
      <c r="N102" s="72">
        <f t="shared" si="6"/>
        <v>0</v>
      </c>
      <c r="O102" s="127">
        <f t="shared" si="7"/>
        <v>0</v>
      </c>
      <c r="P102" s="127">
        <f t="shared" si="8"/>
        <v>0</v>
      </c>
      <c r="Q102" s="130" t="e">
        <f t="shared" si="4"/>
        <v>#DIV/0!</v>
      </c>
      <c r="R102" s="130" t="e">
        <f t="shared" si="5"/>
        <v>#DIV/0!</v>
      </c>
      <c r="S102" s="88"/>
      <c r="T102" s="133"/>
    </row>
    <row r="103" spans="13:20">
      <c r="M103" s="65" t="s">
        <v>14</v>
      </c>
      <c r="N103" s="72">
        <f t="shared" si="6"/>
        <v>0</v>
      </c>
      <c r="O103" s="127">
        <f t="shared" si="7"/>
        <v>0</v>
      </c>
      <c r="P103" s="127">
        <f t="shared" si="8"/>
        <v>0</v>
      </c>
      <c r="Q103" s="130" t="e">
        <f t="shared" si="4"/>
        <v>#DIV/0!</v>
      </c>
      <c r="R103" s="130" t="e">
        <f t="shared" si="5"/>
        <v>#DIV/0!</v>
      </c>
      <c r="S103" s="88"/>
      <c r="T103" s="133"/>
    </row>
    <row r="104" spans="13:20">
      <c r="M104" s="65" t="s">
        <v>79</v>
      </c>
      <c r="N104" s="72">
        <f t="shared" si="6"/>
        <v>0</v>
      </c>
      <c r="O104" s="127">
        <f t="shared" si="7"/>
        <v>0</v>
      </c>
      <c r="P104" s="127">
        <f t="shared" si="8"/>
        <v>0</v>
      </c>
      <c r="Q104" s="130" t="e">
        <f t="shared" si="4"/>
        <v>#DIV/0!</v>
      </c>
      <c r="R104" s="130" t="e">
        <f t="shared" si="5"/>
        <v>#DIV/0!</v>
      </c>
      <c r="S104" s="88"/>
      <c r="T104" s="133"/>
    </row>
    <row r="105" spans="13:20">
      <c r="M105" s="65" t="s">
        <v>15</v>
      </c>
      <c r="N105" s="72">
        <f t="shared" si="6"/>
        <v>0</v>
      </c>
      <c r="O105" s="127">
        <f t="shared" si="7"/>
        <v>0</v>
      </c>
      <c r="P105" s="127">
        <f t="shared" si="8"/>
        <v>0</v>
      </c>
      <c r="Q105" s="130" t="e">
        <f t="shared" si="4"/>
        <v>#DIV/0!</v>
      </c>
      <c r="R105" s="130" t="e">
        <f t="shared" si="5"/>
        <v>#DIV/0!</v>
      </c>
      <c r="S105" s="88"/>
      <c r="T105" s="133"/>
    </row>
    <row r="106" spans="13:20">
      <c r="M106" s="65" t="s">
        <v>80</v>
      </c>
      <c r="N106" s="72">
        <f t="shared" si="6"/>
        <v>0</v>
      </c>
      <c r="O106" s="127">
        <f t="shared" si="7"/>
        <v>0</v>
      </c>
      <c r="P106" s="127">
        <f t="shared" si="8"/>
        <v>0</v>
      </c>
      <c r="Q106" s="130" t="e">
        <f t="shared" si="4"/>
        <v>#DIV/0!</v>
      </c>
      <c r="R106" s="130" t="e">
        <f t="shared" si="5"/>
        <v>#DIV/0!</v>
      </c>
      <c r="S106" s="88"/>
      <c r="T106" s="133"/>
    </row>
    <row r="107" spans="13:20">
      <c r="M107" s="65" t="s">
        <v>59</v>
      </c>
      <c r="N107" s="72">
        <f>$B$6*B34</f>
        <v>0</v>
      </c>
      <c r="O107" s="127" t="e">
        <f>M25*$B$6</f>
        <v>#DIV/0!</v>
      </c>
      <c r="P107" s="127" t="e">
        <f>K25</f>
        <v>#DIV/0!</v>
      </c>
      <c r="Q107" s="130" t="e">
        <f>O107/N107*100</f>
        <v>#DIV/0!</v>
      </c>
      <c r="R107" s="130" t="e">
        <f>P107/N107*100</f>
        <v>#DIV/0!</v>
      </c>
      <c r="S107" s="88"/>
      <c r="T107" s="133"/>
    </row>
    <row r="108" spans="13:20">
      <c r="M108" s="81" t="s">
        <v>60</v>
      </c>
      <c r="N108" s="72">
        <f>$B$6*B35</f>
        <v>0</v>
      </c>
      <c r="O108" s="127" t="e">
        <f>M26*$B$6</f>
        <v>#DIV/0!</v>
      </c>
      <c r="P108" s="127" t="e">
        <f>K26</f>
        <v>#DIV/0!</v>
      </c>
      <c r="Q108" s="130" t="e">
        <f>O108/N108*100</f>
        <v>#DIV/0!</v>
      </c>
      <c r="R108" s="130" t="e">
        <f>P108/N108*100</f>
        <v>#DIV/0!</v>
      </c>
      <c r="S108" s="88"/>
      <c r="T108" s="133"/>
    </row>
    <row r="109" spans="13:20">
      <c r="M109" s="65" t="s">
        <v>61</v>
      </c>
      <c r="N109" s="72">
        <f>$B$6*B36</f>
        <v>0</v>
      </c>
      <c r="O109" s="127" t="e">
        <f>M27*$B$6</f>
        <v>#DIV/0!</v>
      </c>
      <c r="P109" s="127" t="e">
        <f>K27</f>
        <v>#DIV/0!</v>
      </c>
      <c r="Q109" s="130" t="e">
        <f>O109/N109*100</f>
        <v>#DIV/0!</v>
      </c>
      <c r="R109" s="130" t="e">
        <f>P109/N109*100</f>
        <v>#DIV/0!</v>
      </c>
      <c r="S109" s="88"/>
      <c r="T109" s="133"/>
    </row>
    <row r="110" spans="13:20">
      <c r="M110" s="65" t="s">
        <v>256</v>
      </c>
      <c r="N110" s="72">
        <f>$B$6*B37</f>
        <v>0</v>
      </c>
      <c r="O110" s="127">
        <f>M28*$B$6</f>
        <v>0</v>
      </c>
      <c r="P110" s="127">
        <f>K28</f>
        <v>0</v>
      </c>
      <c r="Q110" s="130" t="e">
        <f>O110/N110*100</f>
        <v>#DIV/0!</v>
      </c>
      <c r="R110" s="130" t="e">
        <f>P110/N110*100</f>
        <v>#DIV/0!</v>
      </c>
      <c r="S110" s="88"/>
      <c r="T110" s="133"/>
    </row>
    <row r="111" spans="13:20">
      <c r="S111" s="88"/>
      <c r="T111" s="133"/>
    </row>
    <row r="112" spans="13:20">
      <c r="M112" s="91"/>
      <c r="N112" s="222"/>
      <c r="O112" s="254"/>
      <c r="P112" s="254"/>
      <c r="Q112" s="255"/>
      <c r="R112" s="255"/>
      <c r="S112" s="88"/>
      <c r="T112" s="133"/>
    </row>
  </sheetData>
  <mergeCells count="3">
    <mergeCell ref="A11:C11"/>
    <mergeCell ref="M78:O78"/>
    <mergeCell ref="A1:E1"/>
  </mergeCells>
  <phoneticPr fontId="5"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rgb="FF0070C0"/>
    <pageSetUpPr fitToPage="1"/>
  </sheetPr>
  <dimension ref="A1:Z119"/>
  <sheetViews>
    <sheetView workbookViewId="0">
      <selection activeCell="B4" sqref="B4"/>
    </sheetView>
  </sheetViews>
  <sheetFormatPr defaultRowHeight="12.75"/>
  <cols>
    <col min="1" max="1" width="42.42578125" style="57" customWidth="1"/>
    <col min="2" max="3" width="9.140625" style="57"/>
    <col min="4" max="4" width="2.42578125" style="57" customWidth="1"/>
    <col min="5" max="5" width="45.140625" style="57" customWidth="1"/>
    <col min="6" max="6" width="9.140625" style="57"/>
    <col min="7" max="7" width="13.42578125" style="57" customWidth="1"/>
    <col min="8" max="8" width="18.28515625" style="57" customWidth="1"/>
    <col min="9" max="9" width="3.7109375" style="57" customWidth="1"/>
    <col min="10" max="10" width="31.42578125" style="57" customWidth="1"/>
    <col min="11" max="12" width="9.140625" style="57"/>
    <col min="13" max="13" width="35.140625" style="57" customWidth="1"/>
    <col min="14" max="15" width="10" style="57" bestFit="1" customWidth="1"/>
    <col min="16" max="16" width="12.5703125" style="57" bestFit="1" customWidth="1"/>
    <col min="17" max="17" width="9.42578125" style="57" bestFit="1" customWidth="1"/>
    <col min="18" max="20" width="10" style="57" bestFit="1" customWidth="1"/>
    <col min="21" max="22" width="14.85546875" style="57" bestFit="1" customWidth="1"/>
    <col min="23" max="23" width="10.7109375" style="57" bestFit="1" customWidth="1"/>
    <col min="24" max="16384" width="9.140625" style="57"/>
  </cols>
  <sheetData>
    <row r="1" spans="1:15" ht="37.5" customHeight="1">
      <c r="A1" s="305" t="s">
        <v>268</v>
      </c>
      <c r="B1" s="300"/>
      <c r="C1" s="300"/>
      <c r="D1" s="300"/>
      <c r="E1" s="300"/>
    </row>
    <row r="2" spans="1:15">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5" ht="15.75">
      <c r="A3" s="56" t="s">
        <v>122</v>
      </c>
      <c r="B3" s="70">
        <v>50000</v>
      </c>
      <c r="C3" s="59" t="s">
        <v>1</v>
      </c>
      <c r="D3" s="58"/>
      <c r="E3" s="71" t="s">
        <v>164</v>
      </c>
      <c r="F3" s="75">
        <f>H3</f>
        <v>8.9300000000000004E-3</v>
      </c>
      <c r="G3" s="72" t="s">
        <v>25</v>
      </c>
      <c r="H3" s="101">
        <v>8.9300000000000004E-3</v>
      </c>
      <c r="I3" s="58"/>
      <c r="J3" s="60" t="s">
        <v>17</v>
      </c>
      <c r="K3" s="172">
        <f>IF(ABS(W47*M3*$B$3)&gt;N91,N91,(W47*M3*$B$3))</f>
        <v>8.10884194587735E-2</v>
      </c>
      <c r="L3" s="72" t="s">
        <v>23</v>
      </c>
      <c r="M3" s="173">
        <f t="shared" ref="M3:M24" si="0">$B$6*B15/(W47*$B$3+$B$6)</f>
        <v>8.2813941196997004E-2</v>
      </c>
      <c r="N3" s="59" t="s">
        <v>18</v>
      </c>
    </row>
    <row r="4" spans="1:15" ht="15.75">
      <c r="A4" s="71" t="s">
        <v>123</v>
      </c>
      <c r="B4" s="73">
        <v>19</v>
      </c>
      <c r="C4" s="59" t="s">
        <v>37</v>
      </c>
      <c r="D4" s="58"/>
      <c r="E4" s="71" t="s">
        <v>34</v>
      </c>
      <c r="F4" s="75">
        <f>H4</f>
        <v>1</v>
      </c>
      <c r="G4" s="72" t="s">
        <v>26</v>
      </c>
      <c r="H4" s="101">
        <v>1</v>
      </c>
      <c r="I4" s="58"/>
      <c r="J4" s="62" t="s">
        <v>6</v>
      </c>
      <c r="K4" s="172">
        <f t="shared" ref="K4:K24" si="1">IF(ABS(W48*M4*$B$3)&gt;N92,N92,(W48*M4*$B$3))</f>
        <v>8.4891200007934972E-2</v>
      </c>
      <c r="L4" s="72" t="s">
        <v>23</v>
      </c>
      <c r="M4" s="173">
        <f t="shared" si="0"/>
        <v>3.9800927407137449E-2</v>
      </c>
      <c r="N4" s="59" t="s">
        <v>18</v>
      </c>
    </row>
    <row r="5" spans="1:15" ht="15.75">
      <c r="A5" s="71" t="s">
        <v>130</v>
      </c>
      <c r="B5" s="87">
        <v>1</v>
      </c>
      <c r="C5" s="82" t="s">
        <v>3</v>
      </c>
      <c r="D5" s="58"/>
      <c r="E5" s="71" t="s">
        <v>36</v>
      </c>
      <c r="F5" s="75">
        <f>H5</f>
        <v>8.2100000000000003E-5</v>
      </c>
      <c r="G5" s="72" t="s">
        <v>162</v>
      </c>
      <c r="H5" s="101">
        <v>8.2100000000000003E-5</v>
      </c>
      <c r="I5" s="58"/>
      <c r="J5" s="62" t="s">
        <v>13</v>
      </c>
      <c r="K5" s="172">
        <f t="shared" si="1"/>
        <v>8.4930685295842384E-2</v>
      </c>
      <c r="L5" s="72" t="s">
        <v>23</v>
      </c>
      <c r="M5" s="173">
        <f t="shared" si="0"/>
        <v>3.9354311776468705E-2</v>
      </c>
      <c r="N5" s="59" t="s">
        <v>18</v>
      </c>
    </row>
    <row r="6" spans="1:15" ht="15.75">
      <c r="A6" s="56" t="s">
        <v>124</v>
      </c>
      <c r="B6" s="70">
        <v>8.8410000000000002E-2</v>
      </c>
      <c r="C6" s="59" t="s">
        <v>19</v>
      </c>
      <c r="D6" s="58"/>
      <c r="E6" s="71" t="s">
        <v>163</v>
      </c>
      <c r="F6" s="75">
        <f>H6</f>
        <v>1.8100000000000001E-4</v>
      </c>
      <c r="G6" s="72" t="s">
        <v>25</v>
      </c>
      <c r="H6" s="101">
        <v>1.8100000000000001E-4</v>
      </c>
      <c r="I6" s="58"/>
      <c r="J6" s="60" t="s">
        <v>69</v>
      </c>
      <c r="K6" s="172">
        <f t="shared" si="1"/>
        <v>8.4185499830271945E-2</v>
      </c>
      <c r="L6" s="72" t="s">
        <v>23</v>
      </c>
      <c r="M6" s="173">
        <f t="shared" si="0"/>
        <v>4.7783058135143643E-2</v>
      </c>
      <c r="N6" s="59" t="s">
        <v>18</v>
      </c>
    </row>
    <row r="7" spans="1:15" ht="15.75">
      <c r="A7" s="56" t="s">
        <v>131</v>
      </c>
      <c r="B7" s="74">
        <v>5</v>
      </c>
      <c r="C7" s="59" t="s">
        <v>46</v>
      </c>
      <c r="D7" s="58"/>
      <c r="E7" s="71" t="s">
        <v>27</v>
      </c>
      <c r="F7" s="75">
        <f>H7</f>
        <v>1.1999999999999999E-3</v>
      </c>
      <c r="G7" s="72" t="s">
        <v>26</v>
      </c>
      <c r="H7" s="101">
        <v>1.1999999999999999E-3</v>
      </c>
      <c r="I7" s="58"/>
      <c r="J7" s="62" t="s">
        <v>9</v>
      </c>
      <c r="K7" s="172">
        <f t="shared" si="1"/>
        <v>8.4305502045920785E-2</v>
      </c>
      <c r="L7" s="72" t="s">
        <v>23</v>
      </c>
      <c r="M7" s="173">
        <f t="shared" si="0"/>
        <v>4.6425720552869677E-2</v>
      </c>
      <c r="N7" s="59" t="s">
        <v>18</v>
      </c>
    </row>
    <row r="8" spans="1:15" ht="15.75">
      <c r="A8" s="56" t="s">
        <v>125</v>
      </c>
      <c r="B8" s="74">
        <v>100</v>
      </c>
      <c r="C8" s="72" t="s">
        <v>38</v>
      </c>
      <c r="D8" s="58"/>
      <c r="E8" s="71" t="s">
        <v>134</v>
      </c>
      <c r="F8" s="75">
        <f t="shared" ref="F8:F13" si="2">H8</f>
        <v>0</v>
      </c>
      <c r="G8" s="59" t="s">
        <v>1</v>
      </c>
      <c r="H8" s="101">
        <f>B3-B11</f>
        <v>0</v>
      </c>
      <c r="I8" s="58"/>
      <c r="J8" s="63" t="s">
        <v>7</v>
      </c>
      <c r="K8" s="172">
        <f t="shared" si="1"/>
        <v>8.430960362942265E-2</v>
      </c>
      <c r="L8" s="72" t="s">
        <v>23</v>
      </c>
      <c r="M8" s="173">
        <f t="shared" si="0"/>
        <v>4.637932779750413E-2</v>
      </c>
      <c r="N8" s="59" t="s">
        <v>18</v>
      </c>
    </row>
    <row r="9" spans="1:15" ht="15.75">
      <c r="A9" s="56" t="s">
        <v>126</v>
      </c>
      <c r="B9" s="74">
        <v>1</v>
      </c>
      <c r="C9" s="72" t="s">
        <v>52</v>
      </c>
      <c r="D9" s="58"/>
      <c r="E9" s="71" t="s">
        <v>42</v>
      </c>
      <c r="F9" s="75">
        <f t="shared" si="2"/>
        <v>0.83</v>
      </c>
      <c r="G9" s="59" t="s">
        <v>43</v>
      </c>
      <c r="H9" s="101">
        <v>0.83</v>
      </c>
      <c r="I9" s="58"/>
      <c r="J9" s="62" t="s">
        <v>8</v>
      </c>
      <c r="K9" s="172">
        <f t="shared" si="1"/>
        <v>8.4486574074067053E-2</v>
      </c>
      <c r="L9" s="72" t="s">
        <v>23</v>
      </c>
      <c r="M9" s="173">
        <f t="shared" si="0"/>
        <v>4.4377626127507661E-2</v>
      </c>
      <c r="N9" s="59" t="s">
        <v>18</v>
      </c>
    </row>
    <row r="10" spans="1:15" ht="15.75">
      <c r="A10" s="56" t="s">
        <v>56</v>
      </c>
      <c r="B10" s="75">
        <v>4.47</v>
      </c>
      <c r="C10" s="59" t="s">
        <v>0</v>
      </c>
      <c r="D10" s="104"/>
      <c r="E10" s="71" t="s">
        <v>44</v>
      </c>
      <c r="F10" s="75">
        <f t="shared" si="2"/>
        <v>3</v>
      </c>
      <c r="G10" s="59" t="s">
        <v>45</v>
      </c>
      <c r="H10" s="101">
        <v>3</v>
      </c>
      <c r="I10" s="58"/>
      <c r="J10" s="62" t="s">
        <v>11</v>
      </c>
      <c r="K10" s="172">
        <f t="shared" si="1"/>
        <v>8.4522664316148036E-2</v>
      </c>
      <c r="L10" s="72" t="s">
        <v>23</v>
      </c>
      <c r="M10" s="173">
        <f t="shared" si="0"/>
        <v>4.3969411648591299E-2</v>
      </c>
      <c r="N10" s="59" t="s">
        <v>18</v>
      </c>
    </row>
    <row r="11" spans="1:15" ht="15.75">
      <c r="A11" s="71" t="s">
        <v>121</v>
      </c>
      <c r="B11" s="75">
        <v>50000</v>
      </c>
      <c r="C11" s="59" t="s">
        <v>1</v>
      </c>
      <c r="D11" s="58"/>
      <c r="E11" s="71" t="s">
        <v>47</v>
      </c>
      <c r="F11" s="75">
        <f t="shared" si="2"/>
        <v>61</v>
      </c>
      <c r="G11" s="59" t="s">
        <v>2</v>
      </c>
      <c r="H11" s="101">
        <v>61</v>
      </c>
      <c r="I11" s="58"/>
      <c r="J11" s="63" t="s">
        <v>70</v>
      </c>
      <c r="K11" s="172">
        <f t="shared" si="1"/>
        <v>8.5057865972985744E-2</v>
      </c>
      <c r="L11" s="72" t="s">
        <v>23</v>
      </c>
      <c r="M11" s="173">
        <f t="shared" si="0"/>
        <v>3.7915779063615485E-2</v>
      </c>
      <c r="N11" s="59" t="s">
        <v>18</v>
      </c>
    </row>
    <row r="12" spans="1:15" ht="14.25">
      <c r="D12" s="58"/>
      <c r="E12" s="71" t="s">
        <v>48</v>
      </c>
      <c r="F12" s="100">
        <f t="shared" si="2"/>
        <v>2.0008000000000004</v>
      </c>
      <c r="G12" s="59" t="s">
        <v>49</v>
      </c>
      <c r="H12" s="102">
        <f>H11*0.0328</f>
        <v>2.0008000000000004</v>
      </c>
      <c r="I12" s="58"/>
      <c r="J12" s="63" t="s">
        <v>16</v>
      </c>
      <c r="K12" s="172">
        <f t="shared" si="1"/>
        <v>0</v>
      </c>
      <c r="L12" s="72" t="s">
        <v>23</v>
      </c>
      <c r="M12" s="173">
        <f t="shared" si="0"/>
        <v>0</v>
      </c>
      <c r="N12" s="59" t="s">
        <v>18</v>
      </c>
    </row>
    <row r="13" spans="1:15" ht="14.25">
      <c r="D13" s="58"/>
      <c r="E13" s="71" t="s">
        <v>50</v>
      </c>
      <c r="F13" s="75">
        <f t="shared" si="2"/>
        <v>126</v>
      </c>
      <c r="G13" s="59" t="s">
        <v>51</v>
      </c>
      <c r="H13" s="101">
        <v>126</v>
      </c>
      <c r="I13" s="58"/>
      <c r="J13" s="60" t="s">
        <v>71</v>
      </c>
      <c r="K13" s="172">
        <f t="shared" si="1"/>
        <v>0</v>
      </c>
      <c r="L13" s="72" t="s">
        <v>23</v>
      </c>
      <c r="M13" s="173">
        <f t="shared" si="0"/>
        <v>0</v>
      </c>
      <c r="N13" s="59" t="s">
        <v>18</v>
      </c>
    </row>
    <row r="14" spans="1:15" ht="15.75">
      <c r="A14" s="298" t="s">
        <v>102</v>
      </c>
      <c r="B14" s="308"/>
      <c r="C14" s="308"/>
      <c r="D14" s="58"/>
      <c r="E14" s="56" t="s">
        <v>90</v>
      </c>
      <c r="F14" s="97">
        <v>8.4999999999999999E-6</v>
      </c>
      <c r="G14" s="59" t="s">
        <v>89</v>
      </c>
      <c r="H14" s="103">
        <v>8.4999999999999999E-6</v>
      </c>
      <c r="I14" s="58"/>
      <c r="J14" s="62" t="s">
        <v>12</v>
      </c>
      <c r="K14" s="172">
        <f t="shared" si="1"/>
        <v>0</v>
      </c>
      <c r="L14" s="72" t="s">
        <v>23</v>
      </c>
      <c r="M14" s="173">
        <f t="shared" si="0"/>
        <v>0</v>
      </c>
      <c r="N14" s="59" t="s">
        <v>18</v>
      </c>
    </row>
    <row r="15" spans="1:15" ht="14.25">
      <c r="A15" s="60" t="s">
        <v>17</v>
      </c>
      <c r="B15" s="76">
        <v>1</v>
      </c>
      <c r="C15" s="59" t="s">
        <v>18</v>
      </c>
      <c r="D15" s="58"/>
      <c r="I15" s="58"/>
      <c r="J15" s="62" t="s">
        <v>10</v>
      </c>
      <c r="K15" s="172">
        <f t="shared" si="1"/>
        <v>0</v>
      </c>
      <c r="L15" s="72" t="s">
        <v>23</v>
      </c>
      <c r="M15" s="173">
        <f t="shared" si="0"/>
        <v>0</v>
      </c>
      <c r="N15" s="59" t="s">
        <v>18</v>
      </c>
    </row>
    <row r="16" spans="1:15" ht="14.25">
      <c r="A16" s="62" t="s">
        <v>6</v>
      </c>
      <c r="B16" s="76">
        <v>1</v>
      </c>
      <c r="C16" s="59" t="s">
        <v>18</v>
      </c>
      <c r="D16" s="58"/>
      <c r="I16" s="58"/>
      <c r="J16" s="63" t="s">
        <v>72</v>
      </c>
      <c r="K16" s="172">
        <f t="shared" si="1"/>
        <v>0</v>
      </c>
      <c r="L16" s="72" t="s">
        <v>23</v>
      </c>
      <c r="M16" s="173">
        <f t="shared" si="0"/>
        <v>0</v>
      </c>
      <c r="N16" s="59" t="s">
        <v>18</v>
      </c>
    </row>
    <row r="17" spans="1:14" ht="14.25">
      <c r="A17" s="62" t="s">
        <v>13</v>
      </c>
      <c r="B17" s="76">
        <v>1</v>
      </c>
      <c r="C17" s="59" t="s">
        <v>18</v>
      </c>
      <c r="D17" s="58"/>
      <c r="E17" s="78"/>
      <c r="F17" s="80"/>
      <c r="G17" s="79"/>
      <c r="H17" s="77"/>
      <c r="I17" s="58"/>
      <c r="J17" s="63" t="s">
        <v>73</v>
      </c>
      <c r="K17" s="172">
        <f t="shared" si="1"/>
        <v>0</v>
      </c>
      <c r="L17" s="72" t="s">
        <v>23</v>
      </c>
      <c r="M17" s="173">
        <f t="shared" si="0"/>
        <v>0</v>
      </c>
      <c r="N17" s="59" t="s">
        <v>18</v>
      </c>
    </row>
    <row r="18" spans="1:14" ht="14.25">
      <c r="A18" s="60" t="s">
        <v>69</v>
      </c>
      <c r="B18" s="76">
        <v>1</v>
      </c>
      <c r="C18" s="59" t="s">
        <v>18</v>
      </c>
      <c r="D18" s="58"/>
      <c r="I18" s="58"/>
      <c r="J18" s="64" t="s">
        <v>74</v>
      </c>
      <c r="K18" s="172">
        <f t="shared" si="1"/>
        <v>0</v>
      </c>
      <c r="L18" s="72" t="s">
        <v>23</v>
      </c>
      <c r="M18" s="173">
        <f t="shared" si="0"/>
        <v>0</v>
      </c>
      <c r="N18" s="59" t="s">
        <v>18</v>
      </c>
    </row>
    <row r="19" spans="1:14" ht="14.25">
      <c r="A19" s="62" t="s">
        <v>9</v>
      </c>
      <c r="B19" s="76">
        <v>1</v>
      </c>
      <c r="C19" s="59" t="s">
        <v>18</v>
      </c>
      <c r="D19" s="58"/>
      <c r="I19" s="58"/>
      <c r="J19" s="63" t="s">
        <v>75</v>
      </c>
      <c r="K19" s="172">
        <f t="shared" si="1"/>
        <v>0</v>
      </c>
      <c r="L19" s="72" t="s">
        <v>23</v>
      </c>
      <c r="M19" s="173">
        <f t="shared" si="0"/>
        <v>0</v>
      </c>
      <c r="N19" s="59" t="s">
        <v>18</v>
      </c>
    </row>
    <row r="20" spans="1:14" ht="14.25">
      <c r="A20" s="63" t="s">
        <v>7</v>
      </c>
      <c r="B20" s="76">
        <v>1</v>
      </c>
      <c r="C20" s="59" t="s">
        <v>18</v>
      </c>
      <c r="D20" s="58"/>
      <c r="I20" s="58"/>
      <c r="J20" s="64" t="s">
        <v>78</v>
      </c>
      <c r="K20" s="172">
        <f t="shared" si="1"/>
        <v>0</v>
      </c>
      <c r="L20" s="72" t="s">
        <v>23</v>
      </c>
      <c r="M20" s="173">
        <f t="shared" si="0"/>
        <v>0</v>
      </c>
      <c r="N20" s="59" t="s">
        <v>18</v>
      </c>
    </row>
    <row r="21" spans="1:14" ht="14.25">
      <c r="A21" s="62" t="s">
        <v>8</v>
      </c>
      <c r="B21" s="76">
        <v>1</v>
      </c>
      <c r="C21" s="59" t="s">
        <v>18</v>
      </c>
      <c r="D21" s="58"/>
      <c r="I21" s="58"/>
      <c r="J21" s="65" t="s">
        <v>14</v>
      </c>
      <c r="K21" s="172">
        <f t="shared" si="1"/>
        <v>0</v>
      </c>
      <c r="L21" s="72" t="s">
        <v>23</v>
      </c>
      <c r="M21" s="173">
        <f t="shared" si="0"/>
        <v>0</v>
      </c>
      <c r="N21" s="59" t="s">
        <v>18</v>
      </c>
    </row>
    <row r="22" spans="1:14" ht="14.25">
      <c r="A22" s="62" t="s">
        <v>11</v>
      </c>
      <c r="B22" s="76">
        <v>1</v>
      </c>
      <c r="C22" s="59" t="s">
        <v>18</v>
      </c>
      <c r="D22" s="58"/>
      <c r="I22" s="58"/>
      <c r="J22" s="65" t="s">
        <v>79</v>
      </c>
      <c r="K22" s="172">
        <f t="shared" si="1"/>
        <v>0</v>
      </c>
      <c r="L22" s="72" t="s">
        <v>23</v>
      </c>
      <c r="M22" s="173">
        <f t="shared" si="0"/>
        <v>0</v>
      </c>
      <c r="N22" s="59" t="s">
        <v>18</v>
      </c>
    </row>
    <row r="23" spans="1:14" ht="14.25">
      <c r="A23" s="63" t="s">
        <v>70</v>
      </c>
      <c r="B23" s="76">
        <v>1</v>
      </c>
      <c r="C23" s="59" t="s">
        <v>18</v>
      </c>
      <c r="D23" s="58"/>
      <c r="I23" s="58"/>
      <c r="J23" s="65" t="s">
        <v>15</v>
      </c>
      <c r="K23" s="172">
        <f t="shared" si="1"/>
        <v>0</v>
      </c>
      <c r="L23" s="72" t="s">
        <v>23</v>
      </c>
      <c r="M23" s="173">
        <f t="shared" si="0"/>
        <v>0</v>
      </c>
      <c r="N23" s="59" t="s">
        <v>18</v>
      </c>
    </row>
    <row r="24" spans="1:14" ht="14.25">
      <c r="A24" s="63" t="s">
        <v>16</v>
      </c>
      <c r="B24" s="76">
        <v>0</v>
      </c>
      <c r="C24" s="59" t="s">
        <v>18</v>
      </c>
      <c r="D24" s="58"/>
      <c r="I24" s="58"/>
      <c r="J24" s="65" t="s">
        <v>80</v>
      </c>
      <c r="K24" s="172">
        <f t="shared" si="1"/>
        <v>0</v>
      </c>
      <c r="L24" s="72" t="s">
        <v>23</v>
      </c>
      <c r="M24" s="173">
        <f t="shared" si="0"/>
        <v>0</v>
      </c>
      <c r="N24" s="59" t="s">
        <v>18</v>
      </c>
    </row>
    <row r="25" spans="1:14" ht="14.25">
      <c r="A25" s="60" t="s">
        <v>71</v>
      </c>
      <c r="B25" s="76">
        <v>0</v>
      </c>
      <c r="C25" s="59" t="s">
        <v>18</v>
      </c>
      <c r="D25" s="58"/>
      <c r="I25" s="58"/>
      <c r="J25" s="65" t="s">
        <v>59</v>
      </c>
      <c r="K25" s="172" t="e">
        <f>IF(ABS(W69*M25*$B$3)&gt;N113,N113,(W69*M25*$B$3))</f>
        <v>#DIV/0!</v>
      </c>
      <c r="L25" s="72" t="s">
        <v>23</v>
      </c>
      <c r="M25" s="173" t="e">
        <f>$B$6*B37/(W69*$B$3+$B$6)</f>
        <v>#DIV/0!</v>
      </c>
      <c r="N25" s="59" t="s">
        <v>18</v>
      </c>
    </row>
    <row r="26" spans="1:14" ht="14.25">
      <c r="A26" s="62" t="s">
        <v>12</v>
      </c>
      <c r="B26" s="76">
        <v>0</v>
      </c>
      <c r="C26" s="59" t="s">
        <v>18</v>
      </c>
      <c r="D26" s="58"/>
      <c r="I26" s="58"/>
      <c r="J26" s="81" t="s">
        <v>60</v>
      </c>
      <c r="K26" s="172" t="e">
        <f>IF(ABS(W70*M26*$B$3)&gt;N114,N114,(W70*M26*$B$3))</f>
        <v>#DIV/0!</v>
      </c>
      <c r="L26" s="72" t="s">
        <v>23</v>
      </c>
      <c r="M26" s="173" t="e">
        <f>$B$6*B38/(W70*$B$3+$B$6)</f>
        <v>#DIV/0!</v>
      </c>
      <c r="N26" s="59" t="s">
        <v>18</v>
      </c>
    </row>
    <row r="27" spans="1:14" ht="14.25">
      <c r="A27" s="62" t="s">
        <v>10</v>
      </c>
      <c r="B27" s="76">
        <v>0</v>
      </c>
      <c r="C27" s="59" t="s">
        <v>18</v>
      </c>
      <c r="D27" s="58"/>
      <c r="I27" s="58"/>
      <c r="J27" s="65" t="s">
        <v>61</v>
      </c>
      <c r="K27" s="172" t="e">
        <f>IF(ABS(W71*M27*$B$3)&gt;N115,N115,(W71*M27*$B$3))</f>
        <v>#DIV/0!</v>
      </c>
      <c r="L27" s="72" t="s">
        <v>23</v>
      </c>
      <c r="M27" s="173" t="e">
        <f>$B$6*B39/(W71*$B$3+$B$6)</f>
        <v>#DIV/0!</v>
      </c>
      <c r="N27" s="59" t="s">
        <v>18</v>
      </c>
    </row>
    <row r="28" spans="1:14" ht="14.25">
      <c r="A28" s="63" t="s">
        <v>72</v>
      </c>
      <c r="B28" s="76">
        <v>0</v>
      </c>
      <c r="C28" s="59" t="s">
        <v>18</v>
      </c>
      <c r="D28" s="58"/>
      <c r="I28" s="58"/>
      <c r="J28" s="65" t="s">
        <v>256</v>
      </c>
      <c r="K28" s="172">
        <f>IF(ABS(W72*M28*$B$3)&gt;N116,N116,(W72*M28*$B$3))</f>
        <v>0</v>
      </c>
      <c r="L28" s="72" t="s">
        <v>23</v>
      </c>
      <c r="M28" s="173">
        <f>$B$6*B40/(W72*$B$3+$B$6)</f>
        <v>0</v>
      </c>
      <c r="N28" s="59" t="s">
        <v>18</v>
      </c>
    </row>
    <row r="29" spans="1:14" ht="14.25">
      <c r="A29" s="63" t="s">
        <v>73</v>
      </c>
      <c r="B29" s="76">
        <v>0</v>
      </c>
      <c r="C29" s="59" t="s">
        <v>18</v>
      </c>
      <c r="D29" s="58"/>
      <c r="I29" s="58"/>
    </row>
    <row r="30" spans="1:14" ht="14.25">
      <c r="A30" s="64" t="s">
        <v>74</v>
      </c>
      <c r="B30" s="76">
        <v>0</v>
      </c>
      <c r="C30" s="59" t="s">
        <v>18</v>
      </c>
      <c r="D30" s="58"/>
      <c r="I30" s="58"/>
      <c r="J30" s="212"/>
      <c r="K30" s="258"/>
      <c r="L30" s="89"/>
      <c r="M30" s="258"/>
      <c r="N30" s="185"/>
    </row>
    <row r="31" spans="1:14" ht="14.25">
      <c r="A31" s="63" t="s">
        <v>75</v>
      </c>
      <c r="B31" s="76">
        <v>0</v>
      </c>
      <c r="C31" s="59" t="s">
        <v>18</v>
      </c>
      <c r="D31" s="58"/>
      <c r="I31" s="55"/>
      <c r="J31" s="55"/>
      <c r="K31" s="55"/>
      <c r="L31" s="80"/>
      <c r="M31" s="55"/>
      <c r="N31" s="79"/>
    </row>
    <row r="32" spans="1:14" ht="14.25">
      <c r="A32" s="64" t="s">
        <v>78</v>
      </c>
      <c r="B32" s="76">
        <v>0</v>
      </c>
      <c r="C32" s="59" t="s">
        <v>18</v>
      </c>
      <c r="D32" s="58"/>
      <c r="I32" s="55"/>
      <c r="J32" s="55"/>
      <c r="K32" s="55"/>
      <c r="L32" s="80"/>
      <c r="M32" s="55"/>
      <c r="N32" s="79"/>
    </row>
    <row r="33" spans="1:26" ht="14.25">
      <c r="A33" s="65" t="s">
        <v>14</v>
      </c>
      <c r="B33" s="76">
        <v>0</v>
      </c>
      <c r="C33" s="59" t="s">
        <v>18</v>
      </c>
      <c r="D33" s="58"/>
      <c r="I33" s="55"/>
      <c r="J33" s="55"/>
      <c r="K33" s="55"/>
      <c r="L33" s="80"/>
      <c r="M33" s="55"/>
      <c r="N33" s="79"/>
      <c r="Z33" s="57">
        <f>396+40+59.95+0</f>
        <v>495.95</v>
      </c>
    </row>
    <row r="34" spans="1:26" ht="14.25">
      <c r="A34" s="65" t="s">
        <v>79</v>
      </c>
      <c r="B34" s="76">
        <v>0</v>
      </c>
      <c r="C34" s="59" t="s">
        <v>18</v>
      </c>
      <c r="D34" s="58"/>
      <c r="I34" s="55"/>
      <c r="J34" s="55"/>
      <c r="K34" s="55"/>
      <c r="L34" s="80"/>
      <c r="M34" s="55"/>
      <c r="N34" s="79"/>
      <c r="Z34" s="57">
        <f>565.25/2</f>
        <v>282.625</v>
      </c>
    </row>
    <row r="35" spans="1:26" ht="14.25">
      <c r="A35" s="65" t="s">
        <v>15</v>
      </c>
      <c r="B35" s="76">
        <v>0</v>
      </c>
      <c r="C35" s="59" t="s">
        <v>18</v>
      </c>
      <c r="D35" s="58"/>
      <c r="I35" s="55"/>
      <c r="J35" s="55"/>
      <c r="K35" s="55"/>
      <c r="L35" s="80"/>
      <c r="M35" s="55"/>
      <c r="N35" s="79"/>
      <c r="Z35" s="57">
        <f>565.25-30.3</f>
        <v>534.95000000000005</v>
      </c>
    </row>
    <row r="36" spans="1:26" ht="14.25">
      <c r="A36" s="65" t="s">
        <v>80</v>
      </c>
      <c r="B36" s="76">
        <v>0</v>
      </c>
      <c r="C36" s="59" t="s">
        <v>18</v>
      </c>
      <c r="D36" s="58"/>
      <c r="I36" s="55"/>
      <c r="J36" s="55"/>
      <c r="K36" s="55"/>
      <c r="L36" s="80"/>
      <c r="M36" s="55"/>
      <c r="N36" s="79"/>
      <c r="Z36" s="57">
        <f>Z35/2</f>
        <v>267.47500000000002</v>
      </c>
    </row>
    <row r="37" spans="1:26" ht="14.25">
      <c r="A37" s="65" t="s">
        <v>59</v>
      </c>
      <c r="B37" s="76">
        <v>0</v>
      </c>
      <c r="C37" s="59" t="s">
        <v>18</v>
      </c>
      <c r="D37" s="58"/>
      <c r="I37" s="55"/>
      <c r="J37" s="55"/>
      <c r="K37" s="55"/>
      <c r="L37" s="80"/>
      <c r="M37" s="55"/>
      <c r="N37" s="79"/>
      <c r="Z37" s="57">
        <f>Z36/2</f>
        <v>133.73750000000001</v>
      </c>
    </row>
    <row r="38" spans="1:26" ht="14.25">
      <c r="A38" s="81" t="s">
        <v>60</v>
      </c>
      <c r="B38" s="76">
        <v>0</v>
      </c>
      <c r="C38" s="82" t="s">
        <v>18</v>
      </c>
      <c r="D38" s="88"/>
      <c r="J38" s="55"/>
      <c r="K38" s="55"/>
      <c r="L38" s="80"/>
      <c r="M38" s="55"/>
      <c r="N38" s="79"/>
    </row>
    <row r="39" spans="1:26" ht="14.25">
      <c r="A39" s="65" t="s">
        <v>61</v>
      </c>
      <c r="B39" s="76">
        <v>0</v>
      </c>
      <c r="C39" s="59" t="s">
        <v>18</v>
      </c>
      <c r="D39" s="88"/>
    </row>
    <row r="40" spans="1:26" ht="14.25">
      <c r="A40" s="65" t="s">
        <v>256</v>
      </c>
      <c r="B40" s="76">
        <v>0</v>
      </c>
      <c r="C40" s="59" t="s">
        <v>18</v>
      </c>
      <c r="D40" s="88"/>
    </row>
    <row r="41" spans="1:26">
      <c r="D41" s="55"/>
    </row>
    <row r="42" spans="1:26">
      <c r="A42" s="91"/>
      <c r="B42" s="215"/>
      <c r="C42" s="79"/>
      <c r="D42" s="55"/>
    </row>
    <row r="43" spans="1:26" ht="15.75">
      <c r="A43" s="55"/>
      <c r="B43" s="55"/>
      <c r="C43" s="79"/>
      <c r="D43" s="55"/>
      <c r="M43" s="56" t="s">
        <v>56</v>
      </c>
      <c r="N43" s="273">
        <f>IF(B10&lt;minWindSpd,minWindSpd,B10)</f>
        <v>4.47</v>
      </c>
      <c r="O43" s="59" t="s">
        <v>0</v>
      </c>
    </row>
    <row r="44" spans="1:26">
      <c r="A44" s="55"/>
      <c r="B44" s="55"/>
      <c r="C44" s="79"/>
      <c r="D44" s="55"/>
      <c r="M44" s="272" t="str">
        <f>IF(B10&lt;minWindSpd,CONCATENATE("Windspeed has been set at ",TEXT(minWindSpd,"0.##")," m/s, which is the minimum windspeed for the mass transfer calculations"),"")</f>
        <v/>
      </c>
    </row>
    <row r="45" spans="1:26">
      <c r="A45" s="55"/>
      <c r="B45" s="55"/>
      <c r="C45" s="79"/>
      <c r="D45" s="55"/>
    </row>
    <row r="46" spans="1:26" ht="14.25">
      <c r="A46" s="55"/>
      <c r="B46" s="55"/>
      <c r="C46" s="79"/>
      <c r="D46" s="55"/>
      <c r="H46" s="55"/>
      <c r="I46" s="310"/>
      <c r="J46" s="310"/>
      <c r="K46" s="310"/>
      <c r="L46" s="55"/>
      <c r="M46" s="83" t="s">
        <v>21</v>
      </c>
      <c r="N46" s="83" t="s">
        <v>107</v>
      </c>
      <c r="O46" s="83" t="s">
        <v>103</v>
      </c>
      <c r="P46" s="83" t="s">
        <v>108</v>
      </c>
      <c r="Q46" s="83" t="s">
        <v>104</v>
      </c>
      <c r="R46" s="83" t="s">
        <v>105</v>
      </c>
      <c r="S46" s="83" t="s">
        <v>109</v>
      </c>
      <c r="T46" s="83" t="s">
        <v>35</v>
      </c>
      <c r="U46" s="83" t="s">
        <v>110</v>
      </c>
      <c r="V46" s="83" t="s">
        <v>111</v>
      </c>
      <c r="W46" s="83" t="s">
        <v>112</v>
      </c>
    </row>
    <row r="47" spans="1:26">
      <c r="A47" s="55"/>
      <c r="B47" s="55"/>
      <c r="C47" s="55"/>
      <c r="D47" s="55"/>
      <c r="H47" s="55"/>
      <c r="I47" s="55"/>
      <c r="J47" s="55"/>
      <c r="K47" s="55"/>
      <c r="L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Properties'!F4)/$F$14)^(2/3),IF($N$82&lt;14,IF($N$84&lt;0.3,0.000001+0.0144*$N$84^2.2*N47^(-0.5),0.000001+0.00341*$N$84*N47^(-0.5)),IF($N$82&lt;=51.2,(0.000000002605*$N$82+0.0000001277)*$N$43^2*(IF(ABS('Chemical Properties'!F41)&gt;0,'Chemical Properties'!F41,'Chemical Properties'!F4)/$F$14)^(2/3),0.000000261*$N$43^2*(IF(ABS('Chemical Properties'!F41)&gt;0,'Chemical Properties'!F41,'Chemical Properties'!F4)/$F$14)^(2/3))))</f>
        <v>8.0252443152923303E-6</v>
      </c>
      <c r="Q47" s="105">
        <f t="shared" ref="Q47:Q72" si="3">4.82*10^(-3)*$N$43^(0.78)*O47^(-0.67)*$N$83^(-0.11)</f>
        <v>8.4032893999681467E-3</v>
      </c>
      <c r="R47" s="105">
        <f>IF($B$11=0,0,(8.22*10^(-9)*$F$10*$B$8*1.024^($B$4-20)*$F$9*10^6*18/($B$11*10.758*$F$4)))*(IF(ABS('Chemical Properties'!F41)&gt;0,'Chemical Properties'!F41,'Chemical Properties'!F4)/0.000024)^(0.5)</f>
        <v>5.5291512723230439E-5</v>
      </c>
      <c r="S47" s="105">
        <f>1.35*10^(-7)*$N$79^(1.42)*$N$78^(0.4)*$N$80^(-0.21)*IF(ABS('Chemical Properties'!G41)&gt;0,'Chemical Properties'!G41,'Chemical Properties'!G4)*29*$F$11^(-1)</f>
        <v>0.15985017396612083</v>
      </c>
      <c r="T47" s="105">
        <f>IF(ABS('Chemical Properties'!E41)&gt;0,'Chemical Properties'!E41,'Chemical Properties'!E4)/($F$5*($B$4+273.15))</f>
        <v>1.8969782387411735E-4</v>
      </c>
      <c r="U47" s="105">
        <f>(R47*T47*S47)/(T47*S47+R47)</f>
        <v>1.9583277473989832E-5</v>
      </c>
      <c r="V47" s="105">
        <f>(P47*T47*Q47)/(T47*Q47+P47)</f>
        <v>1.3299187433801294E-6</v>
      </c>
      <c r="W47" s="105">
        <f t="shared" ref="W47:W68" si="4">(U47*$B$11+V47*$F$8)/$B$3</f>
        <v>1.9583277473989832E-5</v>
      </c>
    </row>
    <row r="48" spans="1:26">
      <c r="H48" s="55"/>
      <c r="I48" s="55"/>
      <c r="J48" s="55"/>
      <c r="K48" s="55"/>
      <c r="L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Properties'!F5)/$F$14)^(2/3),IF($N$82&lt;14,IF($N$84&lt;0.3,0.000001+0.0144*$N$84^2.2*N48^(-0.5),0.000001+0.00341*$N$84*N48^(-0.5)),IF($N$82&lt;=51.2,(0.000000002605*$N$82+0.0000001277)*$N$43^2*(IF(ABS('Chemical Properties'!F42)&gt;0,'Chemical Properties'!F42,'Chemical Properties'!F5)/$F$14)^(2/3),0.000000261*$N$43^2*(IF(ABS('Chemical Properties'!F42)&gt;0,'Chemical Properties'!F42,'Chemical Properties'!F5)/$F$14)^(2/3))))</f>
        <v>5.6935055423682253E-6</v>
      </c>
      <c r="Q48" s="105">
        <f t="shared" si="3"/>
        <v>5.8785682836441895E-3</v>
      </c>
      <c r="R48" s="105">
        <f>IF($B$11=0,0,(8.22*10^(-9)*$F$10*$B$8*1.024^($B$4-20)*$F$9*10^6*18/($B$11*10.758*$F$4)))*(IF(ABS('Chemical Properties'!F42)&gt;0,'Chemical Properties'!F42,'Chemical Properties'!F5)/0.000024)^(0.5)</f>
        <v>4.274148290309192E-5</v>
      </c>
      <c r="S48" s="105">
        <f>1.35*10^(-7)*$N$79^(1.42)*$N$78^(0.4)*$N$80^(-0.21)*IF(ABS('Chemical Properties'!G42)&gt;0,'Chemical Properties'!G42,'Chemical Properties'!G5)*29*$F$11^(-1)</f>
        <v>9.377876872679089E-2</v>
      </c>
      <c r="T48" s="105">
        <f>IF(ABS('Chemical Properties'!E42)&gt;0,'Chemical Properties'!E42,'Chemical Properties'!E5)/($F$5*($B$4+273.15))</f>
        <v>0.23261062830152759</v>
      </c>
      <c r="U48" s="105">
        <f t="shared" ref="U48:U68" si="5">(R48*T48*S48)/(T48*S48+R48)</f>
        <v>4.2657900475309804E-5</v>
      </c>
      <c r="V48" s="105">
        <f t="shared" ref="V48:V68" si="6">(P48*T48*Q48)/(T48*Q48+P48)</f>
        <v>5.6698978324832343E-6</v>
      </c>
      <c r="W48" s="105">
        <f t="shared" si="4"/>
        <v>4.2657900475309798E-5</v>
      </c>
    </row>
    <row r="49" spans="8:23">
      <c r="H49" s="55"/>
      <c r="I49" s="55"/>
      <c r="J49" s="55"/>
      <c r="K49" s="55"/>
      <c r="L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Properties'!F6)/$F$14)^(2/3),IF($N$82&lt;14,IF($N$84&lt;0.3,0.000001+0.0144*$N$84^2.2*N49^(-0.5),0.000001+0.00341*$N$84*N49^(-0.5)),IF($N$82&lt;=51.2,(0.000000002605*$N$82+0.0000001277)*$N$43^2*(IF(ABS('Chemical Properties'!F43)&gt;0,'Chemical Properties'!F43,'Chemical Properties'!F6)/$F$14)^(2/3),0.000000261*$N$43^2*(IF(ABS('Chemical Properties'!F43)&gt;0,'Chemical Properties'!F43,'Chemical Properties'!F6)/$F$14)^(2/3))))</f>
        <v>5.770707086129968E-6</v>
      </c>
      <c r="Q49" s="105">
        <f t="shared" si="3"/>
        <v>6.5747692330334695E-3</v>
      </c>
      <c r="R49" s="105">
        <f>IF($B$11=0,0,(8.22*10^(-9)*$F$10*$B$8*1.024^($B$4-20)*$F$9*10^6*18/($B$11*10.758*$F$4)))*(IF(ABS('Chemical Properties'!F43)&gt;0,'Chemical Properties'!F43,'Chemical Properties'!F6)/0.000024)^(0.5)</f>
        <v>4.317541771249312E-5</v>
      </c>
      <c r="S49" s="105">
        <f>1.35*10^(-7)*$N$79^(1.42)*$N$78^(0.4)*$N$80^(-0.21)*IF(ABS('Chemical Properties'!G43)&gt;0,'Chemical Properties'!G43,'Chemical Properties'!G6)*29*$F$11^(-1)</f>
        <v>0.11082945394984378</v>
      </c>
      <c r="T49" s="105">
        <f>IF(ABS('Chemical Properties'!E43)&gt;0,'Chemical Properties'!E43,'Chemical Properties'!E6)/($F$5*($B$4+273.15))</f>
        <v>1.2600788426810396</v>
      </c>
      <c r="U49" s="105">
        <f t="shared" si="5"/>
        <v>4.3162073715452631E-5</v>
      </c>
      <c r="V49" s="105">
        <f t="shared" si="6"/>
        <v>5.7666903118642856E-6</v>
      </c>
      <c r="W49" s="105">
        <f t="shared" si="4"/>
        <v>4.3162073715452631E-5</v>
      </c>
    </row>
    <row r="50" spans="8:23">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Properties'!F7)/$F$14)^(2/3),IF($N$82&lt;14,IF($N$84&lt;0.3,0.000001+0.0144*$N$84^2.2*N50^(-0.5),0.000001+0.00341*$N$84*N50^(-0.5)),IF($N$82&lt;=51.2,(0.000000002605*$N$82+0.0000001277)*$N$43^2*(IF(ABS('Chemical Properties'!F44)&gt;0,'Chemical Properties'!F44,'Chemical Properties'!F7)/$F$14)^(2/3),0.000000261*$N$43^2*(IF(ABS('Chemical Properties'!F44)&gt;0,'Chemical Properties'!F44,'Chemical Properties'!F7)/$F$14)^(2/3))))</f>
        <v>5.6935055423682253E-6</v>
      </c>
      <c r="Q50" s="105">
        <f t="shared" si="3"/>
        <v>5.5517996934734597E-3</v>
      </c>
      <c r="R50" s="105">
        <f>IF($B$11=0,0,(8.22*10^(-9)*$F$10*$B$8*1.024^($B$4-20)*$F$9*10^6*18/($B$11*10.758*$F$4)))*(IF(ABS('Chemical Properties'!F44)&gt;0,'Chemical Properties'!F44,'Chemical Properties'!F7)/0.000024)^(0.5)</f>
        <v>4.274148290309192E-5</v>
      </c>
      <c r="S50" s="105">
        <f>1.35*10^(-7)*$N$79^(1.42)*$N$78^(0.4)*$N$80^(-0.21)*IF(ABS('Chemical Properties'!G44)&gt;0,'Chemical Properties'!G44,'Chemical Properties'!G7)*29*$F$11^(-1)</f>
        <v>8.6105960376417087E-2</v>
      </c>
      <c r="T50" s="105">
        <f>IF(ABS('Chemical Properties'!E44)&gt;0,'Chemical Properties'!E44,'Chemical Properties'!E7)/($F$5*($B$4+273.15))</f>
        <v>2.3305732647391562E-3</v>
      </c>
      <c r="U50" s="105">
        <f t="shared" si="5"/>
        <v>3.5236547477632002E-5</v>
      </c>
      <c r="V50" s="105">
        <f t="shared" si="6"/>
        <v>3.9537383850015413E-6</v>
      </c>
      <c r="W50" s="105">
        <f t="shared" si="4"/>
        <v>3.5236547477632002E-5</v>
      </c>
    </row>
    <row r="51" spans="8:23">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Properties'!F8)/$F$14)^(2/3),IF($N$82&lt;14,IF($N$84&lt;0.3,0.000001+0.0144*$N$84^2.2*N51^(-0.5),0.000001+0.00341*$N$84*N51^(-0.5)),IF($N$82&lt;=51.2,(0.000000002605*$N$82+0.0000001277)*$N$43^2*(IF(ABS('Chemical Properties'!F45)&gt;0,'Chemical Properties'!F45,'Chemical Properties'!F8)/$F$14)^(2/3),0.000000261*$N$43^2*(IF(ABS('Chemical Properties'!F45)&gt;0,'Chemical Properties'!F45,'Chemical Properties'!F8)/$F$14)^(2/3))))</f>
        <v>4.7636137432704627E-6</v>
      </c>
      <c r="Q51" s="105">
        <f t="shared" si="3"/>
        <v>4.4971670981960961E-3</v>
      </c>
      <c r="R51" s="105">
        <f>IF($B$11=0,0,(8.22*10^(-9)*$F$10*$B$8*1.024^($B$4-20)*$F$9*10^6*18/($B$11*10.758*$F$4)))*(IF(ABS('Chemical Properties'!F45)&gt;0,'Chemical Properties'!F45,'Chemical Properties'!F8)/0.000024)^(0.5)</f>
        <v>3.7391008558023663E-5</v>
      </c>
      <c r="S51" s="105">
        <f>1.35*10^(-7)*$N$79^(1.42)*$N$78^(0.4)*$N$80^(-0.21)*IF(ABS('Chemical Properties'!G45)&gt;0,'Chemical Properties'!G45,'Chemical Properties'!G8)*29*$F$11^(-1)</f>
        <v>6.2874401760007526E-2</v>
      </c>
      <c r="T51" s="105">
        <f>IF(ABS('Chemical Properties'!E45)&gt;0,'Chemical Properties'!E45,'Chemical Properties'!E8)/($F$5*($B$4+273.15))</f>
        <v>2.0137153611252456E-2</v>
      </c>
      <c r="U51" s="105">
        <f t="shared" si="5"/>
        <v>3.631844634480732E-5</v>
      </c>
      <c r="V51" s="105">
        <f t="shared" si="6"/>
        <v>4.5255616954666389E-6</v>
      </c>
      <c r="W51" s="105">
        <f t="shared" si="4"/>
        <v>3.631844634480732E-5</v>
      </c>
    </row>
    <row r="52" spans="8:23">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Properties'!F9)/$F$14)^(2/3),IF($N$82&lt;14,IF($N$84&lt;0.3,0.000001+0.0144*$N$84^2.2*N52^(-0.5),0.000001+0.00341*$N$84*N52^(-0.5)),IF($N$82&lt;=51.2,(0.000000002605*$N$82+0.0000001277)*$N$43^2*(IF(ABS('Chemical Properties'!F46)&gt;0,'Chemical Properties'!F46,'Chemical Properties'!F9)/$F$14)^(2/3),0.000000261*$N$43^2*(IF(ABS('Chemical Properties'!F46)&gt;0,'Chemical Properties'!F46,'Chemical Properties'!F9)/$F$14)^(2/3))))</f>
        <v>4.5926984348689746E-6</v>
      </c>
      <c r="Q52" s="105">
        <f t="shared" si="3"/>
        <v>5.7887146138423757E-3</v>
      </c>
      <c r="R52" s="105">
        <f>IF($B$11=0,0,(8.22*10^(-9)*$F$10*$B$8*1.024^($B$4-20)*$F$9*10^6*18/($B$11*10.758*$F$4)))*(IF(ABS('Chemical Properties'!F46)&gt;0,'Chemical Properties'!F46,'Chemical Properties'!F9)/0.000024)^(0.5)</f>
        <v>3.6380253616491849E-5</v>
      </c>
      <c r="S52" s="105">
        <f>1.35*10^(-7)*$N$79^(1.42)*$N$78^(0.4)*$N$80^(-0.21)*IF(ABS('Chemical Properties'!G46)&gt;0,'Chemical Properties'!G46,'Chemical Properties'!G9)*29*$F$11^(-1)</f>
        <v>9.1647433073909282E-2</v>
      </c>
      <c r="T52" s="105">
        <f>IF(ABS('Chemical Properties'!E46)&gt;0,'Chemical Properties'!E46,'Chemical Properties'!E9)/($F$5*($B$4+273.15))</f>
        <v>0.60870070957409095</v>
      </c>
      <c r="U52" s="105">
        <f t="shared" si="5"/>
        <v>3.6356544017854313E-5</v>
      </c>
      <c r="V52" s="105">
        <f t="shared" si="6"/>
        <v>4.5867200452389203E-6</v>
      </c>
      <c r="W52" s="105">
        <f t="shared" si="4"/>
        <v>3.6356544017854313E-5</v>
      </c>
    </row>
    <row r="53" spans="8:23">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Properties'!F10)/$F$14)^(2/3),IF($N$82&lt;14,IF($N$84&lt;0.3,0.000001+0.0144*$N$84^2.2*N53^(-0.5),0.000001+0.00341*$N$84*N53^(-0.5)),IF($N$82&lt;=51.2,(0.000000002605*$N$82+0.0000001277)*$N$43^2*(IF(ABS('Chemical Properties'!F47)&gt;0,'Chemical Properties'!F47,'Chemical Properties'!F10)/$F$14)^(2/3),0.000000261*$N$43^2*(IF(ABS('Chemical Properties'!F47)&gt;0,'Chemical Properties'!F47,'Chemical Properties'!F10)/$F$14)^(2/3))))</f>
        <v>4.8898112916105165E-6</v>
      </c>
      <c r="Q53" s="105">
        <f t="shared" si="3"/>
        <v>5.2815235828687357E-3</v>
      </c>
      <c r="R53" s="105">
        <f>IF($B$11=0,0,(8.22*10^(-9)*$F$10*$B$8*1.024^($B$4-20)*$F$9*10^6*18/($B$11*10.758*$F$4)))*(IF(ABS('Chemical Properties'!F47)&gt;0,'Chemical Properties'!F47,'Chemical Properties'!F10)/0.000024)^(0.5)</f>
        <v>3.8131496454055496E-5</v>
      </c>
      <c r="S53" s="105">
        <f>1.35*10^(-7)*$N$79^(1.42)*$N$78^(0.4)*$N$80^(-0.21)*IF(ABS('Chemical Properties'!G47)&gt;0,'Chemical Properties'!G47,'Chemical Properties'!G10)*29*$F$11^(-1)</f>
        <v>7.9925086983060417E-2</v>
      </c>
      <c r="T53" s="105">
        <f>IF(ABS('Chemical Properties'!E47)&gt;0,'Chemical Properties'!E47,'Chemical Properties'!E10)/($F$5*($B$4+273.15))</f>
        <v>0.32853161585231755</v>
      </c>
      <c r="U53" s="105">
        <f t="shared" si="5"/>
        <v>3.807620255816148E-5</v>
      </c>
      <c r="V53" s="105">
        <f t="shared" si="6"/>
        <v>4.8760700605285037E-6</v>
      </c>
      <c r="W53" s="105">
        <f t="shared" si="4"/>
        <v>3.807620255816148E-5</v>
      </c>
    </row>
    <row r="54" spans="8:23">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Properties'!F11)/$F$14)^(2/3),IF($N$82&lt;14,IF($N$84&lt;0.3,0.000001+0.0144*$N$84^2.2*N54^(-0.5),0.000001+0.00341*$N$84*N54^(-0.5)),IF($N$82&lt;=51.2,(0.000000002605*$N$82+0.0000001277)*$N$43^2*(IF(ABS('Chemical Properties'!F48)&gt;0,'Chemical Properties'!F48,'Chemical Properties'!F11)/$F$14)^(2/3),0.000000261*$N$43^2*(IF(ABS('Chemical Properties'!F48)&gt;0,'Chemical Properties'!F48,'Chemical Properties'!F11)/$F$14)^(2/3))))</f>
        <v>4.9730446129484847E-6</v>
      </c>
      <c r="Q54" s="105">
        <f t="shared" si="3"/>
        <v>5.0910958139449751E-3</v>
      </c>
      <c r="R54" s="105">
        <f>IF($B$11=0,0,(8.22*10^(-9)*$F$10*$B$8*1.024^($B$4-20)*$F$9*10^6*18/($B$11*10.758*$F$4)))*(IF(ABS('Chemical Properties'!F48)&gt;0,'Chemical Properties'!F48,'Chemical Properties'!F11)/0.000024)^(0.5)</f>
        <v>3.8617267584833231E-5</v>
      </c>
      <c r="S54" s="105">
        <f>1.35*10^(-7)*$N$79^(1.42)*$N$78^(0.4)*$N$80^(-0.21)*IF(ABS('Chemical Properties'!G48)&gt;0,'Chemical Properties'!G48,'Chemical Properties'!G11)*29*$F$11^(-1)</f>
        <v>7.5662415677297201E-2</v>
      </c>
      <c r="T54" s="105">
        <f>IF(ABS('Chemical Properties'!E48)&gt;0,'Chemical Properties'!E48,'Chemical Properties'!E11)/($F$5*($B$4+273.15))</f>
        <v>0.11465253091292807</v>
      </c>
      <c r="U54" s="105">
        <f t="shared" si="5"/>
        <v>3.8446120221786496E-5</v>
      </c>
      <c r="V54" s="105">
        <f t="shared" si="6"/>
        <v>4.9310333844372967E-6</v>
      </c>
      <c r="W54" s="105">
        <f t="shared" si="4"/>
        <v>3.8446120221786496E-5</v>
      </c>
    </row>
    <row r="55" spans="8:23">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Properties'!F12)/$F$14)^(2/3),IF($N$82&lt;14,IF($N$84&lt;0.3,0.000001+0.0144*$N$84^2.2*N55^(-0.5),0.000001+0.00341*$N$84*N55^(-0.5)),IF($N$82&lt;=51.2,(0.000000002605*$N$82+0.0000001277)*$N$43^2*(IF(ABS('Chemical Properties'!F49)&gt;0,'Chemical Properties'!F49,'Chemical Properties'!F12)/$F$14)^(2/3),0.000000261*$N$43^2*(IF(ABS('Chemical Properties'!F49)&gt;0,'Chemical Properties'!F49,'Chemical Properties'!F12)/$F$14)^(2/3))))</f>
        <v>6.0745139574748947E-6</v>
      </c>
      <c r="Q55" s="105">
        <f t="shared" si="3"/>
        <v>1.1801079590619119E-2</v>
      </c>
      <c r="R55" s="105">
        <f>IF($B$11=0,0,(8.22*10^(-9)*$F$10*$B$8*1.024^($B$4-20)*$F$9*10^6*18/($B$11*10.758*$F$4)))*(IF(ABS('Chemical Properties'!F49)&gt;0,'Chemical Properties'!F49,'Chemical Properties'!F12)/0.000024)^(0.5)</f>
        <v>4.486921026962839E-5</v>
      </c>
      <c r="S55" s="105">
        <f>1.35*10^(-7)*$N$79^(1.42)*$N$78^(0.4)*$N$80^(-0.21)*IF(ABS('Chemical Properties'!G49)&gt;0,'Chemical Properties'!G49,'Chemical Properties'!G12)*29*$F$11^(-1)</f>
        <v>0.26535128878376063</v>
      </c>
      <c r="T55" s="105">
        <f>IF(ABS('Chemical Properties'!E49)&gt;0,'Chemical Properties'!E49,'Chemical Properties'!E12)/($F$5*($B$4+273.15))</f>
        <v>3.068518645524184</v>
      </c>
      <c r="U55" s="105">
        <f t="shared" si="5"/>
        <v>4.4866737845620831E-5</v>
      </c>
      <c r="V55" s="105">
        <f t="shared" si="6"/>
        <v>6.0734951321866387E-6</v>
      </c>
      <c r="W55" s="105">
        <f t="shared" si="4"/>
        <v>4.4866737845620831E-5</v>
      </c>
    </row>
    <row r="56" spans="8:23">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Properties'!F13)/$F$14)^(2/3),IF($N$82&lt;14,IF($N$84&lt;0.3,0.000001+0.0144*$N$84^2.2*N56^(-0.5),0.000001+0.00341*$N$84*N56^(-0.5)),IF($N$82&lt;=51.2,(0.000000002605*$N$82+0.0000001277)*$N$43^2*(IF(ABS('Chemical Properties'!F50)&gt;0,'Chemical Properties'!F50,'Chemical Properties'!F13)/$F$14)^(2/3),0.000000261*$N$43^2*(IF(ABS('Chemical Properties'!F50)&gt;0,'Chemical Properties'!F50,'Chemical Properties'!F13)/$F$14)^(2/3))))</f>
        <v>7.2561865424200112E-6</v>
      </c>
      <c r="Q56" s="105">
        <f t="shared" si="3"/>
        <v>8.5013117279922595E-3</v>
      </c>
      <c r="R56" s="105">
        <f>IF($B$11=0,0,(8.22*10^(-9)*$F$10*$B$8*1.024^($B$4-20)*$F$9*10^6*18/($B$11*10.758*$F$4)))*(IF(ABS('Chemical Properties'!F50)&gt;0,'Chemical Properties'!F50,'Chemical Properties'!F13)/0.000024)^(0.5)</f>
        <v>5.1267967966889946E-5</v>
      </c>
      <c r="S56" s="105">
        <f>1.35*10^(-7)*$N$79^(1.42)*$N$78^(0.4)*$N$80^(-0.21)*IF(ABS('Chemical Properties'!G50)&gt;0,'Chemical Properties'!G50,'Chemical Properties'!G13)*29*$F$11^(-1)</f>
        <v>0.16264115800356932</v>
      </c>
      <c r="T56" s="105">
        <f>IF(ABS('Chemical Properties'!E50)&gt;0,'Chemical Properties'!E50,'Chemical Properties'!E13)/($F$5*($B$4+273.15))</f>
        <v>7.5046043414118901E-8</v>
      </c>
      <c r="U56" s="105">
        <f t="shared" si="5"/>
        <v>1.2202670264700454E-8</v>
      </c>
      <c r="V56" s="105">
        <f t="shared" si="6"/>
        <v>6.3793371960725404E-10</v>
      </c>
      <c r="W56" s="105">
        <f t="shared" si="4"/>
        <v>1.2202670264700455E-8</v>
      </c>
    </row>
    <row r="57" spans="8:23">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Properties'!F14)/$F$14)^(2/3),IF($N$82&lt;14,IF($N$84&lt;0.3,0.000001+0.0144*$N$84^2.2*N57^(-0.5),0.000001+0.00341*$N$84*N57^(-0.5)),IF($N$82&lt;=51.2,(0.000000002605*$N$82+0.0000001277)*$N$43^2*(IF(ABS('Chemical Properties'!F51)&gt;0,'Chemical Properties'!F51,'Chemical Properties'!F14)/$F$14)^(2/3),0.000000261*$N$43^2*(IF(ABS('Chemical Properties'!F51)&gt;0,'Chemical Properties'!F51,'Chemical Properties'!F14)/$F$14)^(2/3))))</f>
        <v>4.8898112916105165E-6</v>
      </c>
      <c r="Q57" s="105">
        <f t="shared" si="3"/>
        <v>5.2815235828687357E-3</v>
      </c>
      <c r="R57" s="105">
        <f>IF($B$11=0,0,(8.22*10^(-9)*$F$10*$B$8*1.024^($B$4-20)*$F$9*10^6*18/($B$11*10.758*$F$4)))*(IF(ABS('Chemical Properties'!F51)&gt;0,'Chemical Properties'!F51,'Chemical Properties'!F14)/0.000024)^(0.5)</f>
        <v>3.8131496454055496E-5</v>
      </c>
      <c r="S57" s="105">
        <f>1.35*10^(-7)*$N$79^(1.42)*$N$78^(0.4)*$N$80^(-0.21)*IF(ABS('Chemical Properties'!G51)&gt;0,'Chemical Properties'!G51,'Chemical Properties'!G14)*29*$F$11^(-1)</f>
        <v>7.9925086983060417E-2</v>
      </c>
      <c r="T57" s="105">
        <f>IF(ABS('Chemical Properties'!E51)&gt;0,'Chemical Properties'!E51,'Chemical Properties'!E14)/($F$5*($B$4+273.15))</f>
        <v>5.754812142411323E-3</v>
      </c>
      <c r="U57" s="105">
        <f t="shared" si="5"/>
        <v>3.5212295959783002E-5</v>
      </c>
      <c r="V57" s="105">
        <f t="shared" si="6"/>
        <v>4.2121595784021287E-6</v>
      </c>
      <c r="W57" s="105">
        <f t="shared" si="4"/>
        <v>3.5212295959783002E-5</v>
      </c>
    </row>
    <row r="58" spans="8:23">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Properties'!F15)/$F$14)^(2/3),IF($N$82&lt;14,IF($N$84&lt;0.3,0.000001+0.0144*$N$84^2.2*N58^(-0.5),0.000001+0.00341*$N$84*N58^(-0.5)),IF($N$82&lt;=51.2,(0.000000002605*$N$82+0.0000001277)*$N$43^2*(IF(ABS('Chemical Properties'!F52)&gt;0,'Chemical Properties'!F52,'Chemical Properties'!F15)/$F$14)^(2/3),0.000000261*$N$43^2*(IF(ABS('Chemical Properties'!F52)&gt;0,'Chemical Properties'!F52,'Chemical Properties'!F15)/$F$14)^(2/3))))</f>
        <v>5.2186879781082262E-6</v>
      </c>
      <c r="Q58" s="105">
        <f t="shared" si="3"/>
        <v>5.8337266568932187E-3</v>
      </c>
      <c r="R58" s="105">
        <f>IF($B$11=0,0,(8.22*10^(-9)*$F$10*$B$8*1.024^($B$4-20)*$F$9*10^6*18/($B$11*10.758*$F$4)))*(IF(ABS('Chemical Properties'!F52)&gt;0,'Chemical Properties'!F52,'Chemical Properties'!F15)/0.000024)^(0.5)</f>
        <v>4.0039235224932903E-5</v>
      </c>
      <c r="S58" s="105">
        <f>1.35*10^(-7)*$N$79^(1.42)*$N$78^(0.4)*$N$80^(-0.21)*IF(ABS('Chemical Properties'!G52)&gt;0,'Chemical Properties'!G52,'Chemical Properties'!G15)*29*$F$11^(-1)</f>
        <v>9.2713100900350079E-2</v>
      </c>
      <c r="T58" s="105">
        <f>IF(ABS('Chemical Properties'!E52)&gt;0,'Chemical Properties'!E52,'Chemical Properties'!E15)/($F$5*($B$4+273.15))</f>
        <v>0.2768337473679427</v>
      </c>
      <c r="U58" s="105">
        <f t="shared" si="5"/>
        <v>3.9976871157043677E-5</v>
      </c>
      <c r="V58" s="105">
        <f t="shared" si="6"/>
        <v>5.201878415198754E-6</v>
      </c>
      <c r="W58" s="105">
        <f t="shared" si="4"/>
        <v>3.9976871157043677E-5</v>
      </c>
    </row>
    <row r="59" spans="8:23">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Properties'!F16)/$F$14)^(2/3),IF($N$82&lt;14,IF($N$84&lt;0.3,0.000001+0.0144*$N$84^2.2*N59^(-0.5),0.000001+0.00341*$N$84*N59^(-0.5)),IF($N$82&lt;=51.2,(0.000000002605*$N$82+0.0000001277)*$N$43^2*(IF(ABS('Chemical Properties'!F53)&gt;0,'Chemical Properties'!F53,'Chemical Properties'!F16)/$F$14)^(2/3),0.000000261*$N$43^2*(IF(ABS('Chemical Properties'!F53)&gt;0,'Chemical Properties'!F53,'Chemical Properties'!F16)/$F$14)^(2/3))))</f>
        <v>5.4190516724180518E-6</v>
      </c>
      <c r="Q59" s="105">
        <f t="shared" si="3"/>
        <v>5.6069083594429414E-3</v>
      </c>
      <c r="R59" s="105">
        <f>IF($B$11=0,0,(8.22*10^(-9)*$F$10*$B$8*1.024^($B$4-20)*$F$9*10^6*18/($B$11*10.758*$F$4)))*(IF(ABS('Chemical Properties'!F53)&gt;0,'Chemical Properties'!F53,'Chemical Properties'!F16)/0.000024)^(0.5)</f>
        <v>4.1186723493498742E-5</v>
      </c>
      <c r="S59" s="105">
        <f>1.35*10^(-7)*$N$79^(1.42)*$N$78^(0.4)*$N$80^(-0.21)*IF(ABS('Chemical Properties'!G53)&gt;0,'Chemical Properties'!G53,'Chemical Properties'!G16)*29*$F$11^(-1)</f>
        <v>8.7384761768146066E-2</v>
      </c>
      <c r="T59" s="105">
        <f>IF(ABS('Chemical Properties'!E53)&gt;0,'Chemical Properties'!E53,'Chemical Properties'!E16)/($F$5*($B$4+273.15))</f>
        <v>1.6551656280884527E-5</v>
      </c>
      <c r="U59" s="105">
        <f t="shared" si="5"/>
        <v>1.3972935010675816E-6</v>
      </c>
      <c r="V59" s="105">
        <f t="shared" si="6"/>
        <v>9.1241076787156401E-8</v>
      </c>
      <c r="W59" s="105">
        <f t="shared" si="4"/>
        <v>1.3972935010675816E-6</v>
      </c>
    </row>
    <row r="60" spans="8:23">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Properties'!F17)/$F$14)^(2/3),IF($N$82&lt;14,IF($N$84&lt;0.3,0.000001+0.0144*$N$84^2.2*N60^(-0.5),0.000001+0.00341*$N$84*N60^(-0.5)),IF($N$82&lt;=51.2,(0.000000002605*$N$82+0.0000001277)*$N$43^2*(IF(ABS('Chemical Properties'!F54)&gt;0,'Chemical Properties'!F54,'Chemical Properties'!F17)/$F$14)^(2/3),0.000000261*$N$43^2*(IF(ABS('Chemical Properties'!F54)&gt;0,'Chemical Properties'!F54,'Chemical Properties'!F17)/$F$14)^(2/3))))</f>
        <v>4.8772652630048998E-6</v>
      </c>
      <c r="Q60" s="105">
        <f t="shared" si="3"/>
        <v>1.0189626703710304E-2</v>
      </c>
      <c r="R60" s="105">
        <f>IF($B$11=0,0,(8.22*10^(-9)*$F$10*$B$8*1.024^($B$4-20)*$F$9*10^6*18/($B$11*10.758*$F$4)))*(IF(ABS('Chemical Properties'!F54)&gt;0,'Chemical Properties'!F54,'Chemical Properties'!F17)/0.000024)^(0.5)</f>
        <v>3.8058096007836515E-5</v>
      </c>
      <c r="S60" s="105">
        <f>1.35*10^(-7)*$N$79^(1.42)*$N$78^(0.4)*$N$80^(-0.21)*IF(ABS('Chemical Properties'!G54)&gt;0,'Chemical Properties'!G54,'Chemical Properties'!G17)*29*$F$11^(-1)</f>
        <v>0.21313356528816116</v>
      </c>
      <c r="T60" s="105">
        <f>IF(ABS('Chemical Properties'!E54)&gt;0,'Chemical Properties'!E54,'Chemical Properties'!E17)/($F$5*($B$4+273.15))</f>
        <v>5.0864031895917181</v>
      </c>
      <c r="U60" s="105">
        <f t="shared" si="5"/>
        <v>3.8056759977757703E-5</v>
      </c>
      <c r="V60" s="105">
        <f t="shared" si="6"/>
        <v>4.8768063368291112E-6</v>
      </c>
      <c r="W60" s="105">
        <f t="shared" si="4"/>
        <v>3.8056759977757703E-5</v>
      </c>
    </row>
    <row r="61" spans="8:23">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Properties'!F18)/$F$14)^(2/3),IF($N$82&lt;14,IF($N$84&lt;0.3,0.000001+0.0144*$N$84^2.2*N61^(-0.5),0.000001+0.00341*$N$84*N61^(-0.5)),IF($N$82&lt;=51.2,(0.000000002605*$N$82+0.0000001277)*$N$43^2*(IF(ABS('Chemical Properties'!F55)&gt;0,'Chemical Properties'!F55,'Chemical Properties'!F18)/$F$14)^(2/3),0.000000261*$N$43^2*(IF(ABS('Chemical Properties'!F55)&gt;0,'Chemical Properties'!F55,'Chemical Properties'!F18)/$F$14)^(2/3))))</f>
        <v>5.4981636593977672E-6</v>
      </c>
      <c r="Q61" s="105">
        <f t="shared" si="3"/>
        <v>5.0139387236944151E-3</v>
      </c>
      <c r="R61" s="105">
        <f>IF($B$11=0,0,(8.22*10^(-9)*$F$10*$B$8*1.024^($B$4-20)*$F$9*10^6*18/($B$11*10.758*$F$4)))*(IF(ABS('Chemical Properties'!F55)&gt;0,'Chemical Properties'!F55,'Chemical Properties'!F18)/0.000024)^(0.5)</f>
        <v>4.1636864987927299E-5</v>
      </c>
      <c r="S61" s="105">
        <f>1.35*10^(-7)*$N$79^(1.42)*$N$78^(0.4)*$N$80^(-0.21)*IF(ABS('Chemical Properties'!G55)&gt;0,'Chemical Properties'!G55,'Chemical Properties'!G18)*29*$F$11^(-1)</f>
        <v>7.3957347154991915E-2</v>
      </c>
      <c r="T61" s="105">
        <f>IF(ABS('Chemical Properties'!E55)&gt;0,'Chemical Properties'!E55,'Chemical Properties'!E18)/($F$5*($B$4+273.15))</f>
        <v>6.7540763665070356E-5</v>
      </c>
      <c r="U61" s="105">
        <f t="shared" si="5"/>
        <v>4.4600657890120043E-6</v>
      </c>
      <c r="V61" s="105">
        <f t="shared" si="6"/>
        <v>3.1899742441228806E-7</v>
      </c>
      <c r="W61" s="105">
        <f t="shared" si="4"/>
        <v>4.4600657890120043E-6</v>
      </c>
    </row>
    <row r="62" spans="8:23">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Properties'!F19)/$F$14)^(2/3),IF($N$82&lt;14,IF($N$84&lt;0.3,0.000001+0.0144*$N$84^2.2*N62^(-0.5),0.000001+0.00341*$N$84*N62^(-0.5)),IF($N$82&lt;=51.2,(0.000000002605*$N$82+0.0000001277)*$N$43^2*(IF(ABS('Chemical Properties'!F56)&gt;0,'Chemical Properties'!F56,'Chemical Properties'!F19)/$F$14)^(2/3),0.000000261*$N$43^2*(IF(ABS('Chemical Properties'!F56)&gt;0,'Chemical Properties'!F56,'Chemical Properties'!F19)/$F$14)^(2/3))))</f>
        <v>5.5139177234516929E-6</v>
      </c>
      <c r="Q62" s="105">
        <f t="shared" si="3"/>
        <v>5.1102950886973064E-3</v>
      </c>
      <c r="R62" s="105">
        <f>IF($B$11=0,0,(8.22*10^(-9)*$F$10*$B$8*1.024^($B$4-20)*$F$9*10^6*18/($B$11*10.758*$F$4)))*(IF(ABS('Chemical Properties'!F56)&gt;0,'Chemical Properties'!F56,'Chemical Properties'!F19)/0.000024)^(0.5)</f>
        <v>4.1726310558225478E-5</v>
      </c>
      <c r="S62" s="105">
        <f>1.35*10^(-7)*$N$79^(1.42)*$N$78^(0.4)*$N$80^(-0.21)*IF(ABS('Chemical Properties'!G56)&gt;0,'Chemical Properties'!G56,'Chemical Properties'!G19)*29*$F$11^(-1)</f>
        <v>7.6088682807873537E-2</v>
      </c>
      <c r="T62" s="105">
        <f>IF(ABS('Chemical Properties'!E56)&gt;0,'Chemical Properties'!E56,'Chemical Properties'!E19)/($F$5*($B$4+273.15))</f>
        <v>0.2518702909176635</v>
      </c>
      <c r="U62" s="105">
        <f t="shared" si="5"/>
        <v>4.1635658344830457E-5</v>
      </c>
      <c r="V62" s="105">
        <f t="shared" si="6"/>
        <v>5.4903975159815803E-6</v>
      </c>
      <c r="W62" s="105">
        <f t="shared" si="4"/>
        <v>4.1635658344830457E-5</v>
      </c>
    </row>
    <row r="63" spans="8:23">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Properties'!F20)/$F$14)^(2/3),IF($N$82&lt;14,IF($N$84&lt;0.3,0.000001+0.0144*$N$84^2.2*N63^(-0.5),0.000001+0.00341*$N$84*N63^(-0.5)),IF($N$82&lt;=51.2,(0.000000002605*$N$82+0.0000001277)*$N$43^2*(IF(ABS('Chemical Properties'!F57)&gt;0,'Chemical Properties'!F57,'Chemical Properties'!F20)/$F$14)^(2/3),0.000000261*$N$43^2*(IF(ABS('Chemical Properties'!F57)&gt;0,'Chemical Properties'!F57,'Chemical Properties'!F20)/$F$14)^(2/3))))</f>
        <v>5.9614956309216854E-6</v>
      </c>
      <c r="Q63" s="105">
        <f t="shared" si="3"/>
        <v>6.5068253174949192E-3</v>
      </c>
      <c r="R63" s="105">
        <f>IF($B$11=0,0,(8.22*10^(-9)*$F$10*$B$8*1.024^($B$4-20)*$F$9*10^6*18/($B$11*10.758*$F$4)))*(IF(ABS('Chemical Properties'!F57)&gt;0,'Chemical Properties'!F57,'Chemical Properties'!F20)/0.000024)^(0.5)</f>
        <v>4.4241637959965697E-5</v>
      </c>
      <c r="S63" s="105">
        <f>1.35*10^(-7)*$N$79^(1.42)*$N$78^(0.4)*$N$80^(-0.21)*IF(ABS('Chemical Properties'!G57)&gt;0,'Chemical Properties'!G57,'Chemical Properties'!G20)*29*$F$11^(-1)</f>
        <v>0.1091243854275385</v>
      </c>
      <c r="T63" s="105">
        <f>IF(ABS('Chemical Properties'!E57)&gt;0,'Chemical Properties'!E57,'Chemical Properties'!E20)/($F$5*($B$4+273.15))</f>
        <v>2.3144197654292605E-2</v>
      </c>
      <c r="U63" s="105">
        <f t="shared" si="5"/>
        <v>4.3479985847195214E-5</v>
      </c>
      <c r="V63" s="105">
        <f t="shared" si="6"/>
        <v>5.734488932931743E-6</v>
      </c>
      <c r="W63" s="105">
        <f t="shared" si="4"/>
        <v>4.3479985847195214E-5</v>
      </c>
    </row>
    <row r="64" spans="8:23">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Properties'!F21)/$F$14)^(2/3),IF($N$82&lt;14,IF($N$84&lt;0.3,0.000001+0.0144*$N$84^2.2*N64^(-0.5),0.000001+0.00341*$N$84*N64^(-0.5)),IF($N$82&lt;=51.2,(0.000000002605*$N$82+0.0000001277)*$N$43^2*(IF(ABS('Chemical Properties'!F58)&gt;0,'Chemical Properties'!F58,'Chemical Properties'!F21)/$F$14)^(2/3),0.000000261*$N$43^2*(IF(ABS('Chemical Properties'!F58)&gt;0,'Chemical Properties'!F58,'Chemical Properties'!F21)/$F$14)^(2/3))))</f>
        <v>5.0555871216929887E-6</v>
      </c>
      <c r="Q64" s="105">
        <f t="shared" si="3"/>
        <v>3.4893432336811623E-3</v>
      </c>
      <c r="R64" s="105">
        <f>IF($B$11=0,0,(8.22*10^(-9)*$F$10*$B$8*1.024^($B$4-20)*$F$9*10^6*18/($B$11*10.758*$F$4)))*(IF(ABS('Chemical Properties'!F58)&gt;0,'Chemical Properties'!F58,'Chemical Properties'!F21)/0.000024)^(0.5)</f>
        <v>3.9097003588658513E-5</v>
      </c>
      <c r="S64" s="105">
        <f>1.35*10^(-7)*$N$79^(1.42)*$N$78^(0.4)*$N$80^(-0.21)*IF(ABS('Chemical Properties'!G58)&gt;0,'Chemical Properties'!G58,'Chemical Properties'!G21)*29*$F$11^(-1)</f>
        <v>4.3052980188208544E-2</v>
      </c>
      <c r="T64" s="105">
        <f>IF(ABS('Chemical Properties'!E58)&gt;0,'Chemical Properties'!E58,'Chemical Properties'!E21)/($F$5*($B$4+273.15))</f>
        <v>1.1673712238407222E-2</v>
      </c>
      <c r="U64" s="105">
        <f t="shared" si="5"/>
        <v>3.6275113758898237E-5</v>
      </c>
      <c r="V64" s="105">
        <f t="shared" si="6"/>
        <v>4.497399283095876E-6</v>
      </c>
      <c r="W64" s="105">
        <f t="shared" si="4"/>
        <v>3.6275113758898237E-5</v>
      </c>
    </row>
    <row r="65" spans="13:23">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Properties'!F22)/$F$14)^(2/3),IF($N$82&lt;14,IF($N$84&lt;0.3,0.000001+0.0144*$N$84^2.2*N65^(-0.5),0.000001+0.00341*$N$84*N65^(-0.5)),IF($N$82&lt;=51.2,(0.000000002605*$N$82+0.0000001277)*$N$43^2*(IF(ABS('Chemical Properties'!F59)&gt;0,'Chemical Properties'!F59,'Chemical Properties'!F22)/$F$14)^(2/3),0.000000261*$N$43^2*(IF(ABS('Chemical Properties'!F59)&gt;0,'Chemical Properties'!F59,'Chemical Properties'!F22)/$F$14)^(2/3))))</f>
        <v>6.8737109508427445E-6</v>
      </c>
      <c r="Q65" s="105">
        <f t="shared" si="3"/>
        <v>8.836980368276898E-3</v>
      </c>
      <c r="R65" s="105">
        <f>IF($B$11=0,0,(8.22*10^(-9)*$F$10*$B$8*1.024^($B$4-20)*$F$9*10^6*18/($B$11*10.758*$F$4)))*(IF(ABS('Chemical Properties'!F59)&gt;0,'Chemical Properties'!F59,'Chemical Properties'!F22)/0.000024)^(0.5)</f>
        <v>4.9227550244174695E-5</v>
      </c>
      <c r="S65" s="105">
        <f>1.35*10^(-7)*$N$79^(1.42)*$N$78^(0.4)*$N$80^(-0.21)*IF(ABS('Chemical Properties'!G59)&gt;0,'Chemical Properties'!G59,'Chemical Properties'!G22)*29*$F$11^(-1)</f>
        <v>0.17231848753547829</v>
      </c>
      <c r="T65" s="105">
        <f>IF(ABS('Chemical Properties'!E59)&gt;0,'Chemical Properties'!E59,'Chemical Properties'!E22)/($F$5*($B$4+273.15))</f>
        <v>2.0512380076058405</v>
      </c>
      <c r="U65" s="105">
        <f t="shared" si="5"/>
        <v>4.9220695235025542E-5</v>
      </c>
      <c r="V65" s="105">
        <f t="shared" si="6"/>
        <v>6.8711054097231787E-6</v>
      </c>
      <c r="W65" s="105">
        <f t="shared" si="4"/>
        <v>4.9220695235025535E-5</v>
      </c>
    </row>
    <row r="66" spans="13:23">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Properties'!F23)/$F$14)^(2/3),IF($N$82&lt;14,IF($N$84&lt;0.3,0.000001+0.0144*$N$84^2.2*N66^(-0.5),0.000001+0.00341*$N$84*N66^(-0.5)),IF($N$82&lt;=51.2,(0.000000002605*$N$82+0.0000001277)*$N$43^2*(IF(ABS('Chemical Properties'!F60)&gt;0,'Chemical Properties'!F60,'Chemical Properties'!F23)/$F$14)^(2/3),0.000000261*$N$43^2*(IF(ABS('Chemical Properties'!F60)&gt;0,'Chemical Properties'!F60,'Chemical Properties'!F23)/$F$14)^(2/3))))</f>
        <v>5.7321712999414484E-6</v>
      </c>
      <c r="Q66" s="105">
        <f t="shared" si="3"/>
        <v>6.5747692330334695E-3</v>
      </c>
      <c r="R66" s="105">
        <f>IF($B$11=0,0,(8.22*10^(-9)*$F$10*$B$8*1.024^($B$4-20)*$F$9*10^6*18/($B$11*10.758*$F$4)))*(IF(ABS('Chemical Properties'!F60)&gt;0,'Chemical Properties'!F60,'Chemical Properties'!F23)/0.000024)^(0.5)</f>
        <v>4.2958998215761295E-5</v>
      </c>
      <c r="S66" s="105">
        <f>1.35*10^(-7)*$N$79^(1.42)*$N$78^(0.4)*$N$80^(-0.21)*IF(ABS('Chemical Properties'!G60)&gt;0,'Chemical Properties'!G60,'Chemical Properties'!G23)*29*$F$11^(-1)</f>
        <v>0.11082945394984378</v>
      </c>
      <c r="T66" s="105">
        <f>IF(ABS('Chemical Properties'!E60)&gt;0,'Chemical Properties'!E60,'Chemical Properties'!E23)/($F$5*($B$4+273.15))</f>
        <v>5.8368561192036116E-2</v>
      </c>
      <c r="U66" s="105">
        <f t="shared" si="5"/>
        <v>4.2675598387158367E-5</v>
      </c>
      <c r="V66" s="105">
        <f t="shared" si="6"/>
        <v>5.6478106750239857E-6</v>
      </c>
      <c r="W66" s="105">
        <f t="shared" si="4"/>
        <v>4.2675598387158367E-5</v>
      </c>
    </row>
    <row r="67" spans="13:23">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Properties'!F24)/$F$14)^(2/3),IF($N$82&lt;14,IF($N$84&lt;0.3,0.000001+0.0144*$N$84^2.2*N67^(-0.5),0.000001+0.00341*$N$84*N67^(-0.5)),IF($N$82&lt;=51.2,(0.000000002605*$N$82+0.0000001277)*$N$43^2*(IF(ABS('Chemical Properties'!F61)&gt;0,'Chemical Properties'!F61,'Chemical Properties'!F24)/$F$14)^(2/3),0.000000261*$N$43^2*(IF(ABS('Chemical Properties'!F61)&gt;0,'Chemical Properties'!F61,'Chemical Properties'!F24)/$F$14)^(2/3))))</f>
        <v>5.6935055423682253E-6</v>
      </c>
      <c r="Q67" s="105">
        <f t="shared" si="3"/>
        <v>5.0622298280284727E-3</v>
      </c>
      <c r="R67" s="105">
        <f>IF($B$11=0,0,(8.22*10^(-9)*$F$10*$B$8*1.024^($B$4-20)*$F$9*10^6*18/($B$11*10.758*$F$4)))*(IF(ABS('Chemical Properties'!F61)&gt;0,'Chemical Properties'!F61,'Chemical Properties'!F24)/0.000024)^(0.5)</f>
        <v>4.274148290309192E-5</v>
      </c>
      <c r="S67" s="105">
        <f>1.35*10^(-7)*$N$79^(1.42)*$N$78^(0.4)*$N$80^(-0.21)*IF(ABS('Chemical Properties'!G61)&gt;0,'Chemical Properties'!G61,'Chemical Properties'!G24)*29*$F$11^(-1)</f>
        <v>7.5023014981432712E-2</v>
      </c>
      <c r="T67" s="105">
        <f>IF(ABS('Chemical Properties'!E61)&gt;0,'Chemical Properties'!E61,'Chemical Properties'!E24)/($F$5*($B$4+273.15))</f>
        <v>1.6134737986655697E-9</v>
      </c>
      <c r="U67" s="105">
        <f t="shared" si="5"/>
        <v>1.2104732615267666E-10</v>
      </c>
      <c r="V67" s="105">
        <f t="shared" si="6"/>
        <v>8.1677634730572015E-12</v>
      </c>
      <c r="W67" s="105">
        <f t="shared" si="4"/>
        <v>1.2104732615267666E-10</v>
      </c>
    </row>
    <row r="68" spans="13:23">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Properties'!F25)/$F$14)^(2/3),IF($N$82&lt;14,IF($N$84&lt;0.3,0.000001+0.0144*$N$84^2.2*N68^(-0.5),0.000001+0.00341*$N$84*N68^(-0.5)),IF($N$82&lt;=51.2,(0.000000002605*$N$82+0.0000001277)*$N$43^2*(IF(ABS('Chemical Properties'!F62)&gt;0,'Chemical Properties'!F62,'Chemical Properties'!F25)/$F$14)^(2/3),0.000000261*$N$43^2*(IF(ABS('Chemical Properties'!F62)&gt;0,'Chemical Properties'!F62,'Chemical Properties'!F25)/$F$14)^(2/3))))</f>
        <v>4.3700456500211139E-6</v>
      </c>
      <c r="Q68" s="105">
        <f t="shared" si="3"/>
        <v>5.2010118091584531E-3</v>
      </c>
      <c r="R68" s="105">
        <f>IF($B$11=0,0,(8.22*10^(-9)*$F$10*$B$8*1.024^($B$4-20)*$F$9*10^6*18/($B$11*10.758*$F$4)))*(IF(ABS('Chemical Properties'!F62)&gt;0,'Chemical Properties'!F62,'Chemical Properties'!F25)/0.000024)^(0.5)</f>
        <v>3.5049292457526244E-5</v>
      </c>
      <c r="S68" s="105">
        <f>1.35*10^(-7)*$N$79^(1.42)*$N$78^(0.4)*$N$80^(-0.21)*IF(ABS('Chemical Properties'!G62)&gt;0,'Chemical Properties'!G62,'Chemical Properties'!G25)*29*$F$11^(-1)</f>
        <v>7.8113451678111054E-2</v>
      </c>
      <c r="T68" s="105">
        <f>IF(ABS('Chemical Properties'!E62)&gt;0,'Chemical Properties'!E62,'Chemical Properties'!E25)/($F$5*($B$4+273.15))</f>
        <v>126.32624315133529</v>
      </c>
      <c r="U68" s="105">
        <f t="shared" si="5"/>
        <v>3.5049167966640084E-5</v>
      </c>
      <c r="V68" s="105">
        <f t="shared" si="6"/>
        <v>4.3700165838625669E-6</v>
      </c>
      <c r="W68" s="105">
        <f t="shared" si="4"/>
        <v>3.5049167966640084E-5</v>
      </c>
    </row>
    <row r="69" spans="13:23">
      <c r="M69" s="65" t="s">
        <v>59</v>
      </c>
      <c r="N69" s="105" t="e">
        <f>$F$3/($F$4*IF(ABS('Chemical Properties'!F63)&gt;0,'Chemical Properties'!F63,'Chemical Properties'!F26))</f>
        <v>#DIV/0!</v>
      </c>
      <c r="O69" s="105" t="e">
        <f>$F$6/($F$7*IF(ABS('Chemical Properties'!G63)&gt;0,'Chemical Properties'!G63,'Chemical Properties'!G26))</f>
        <v>#DIV/0!</v>
      </c>
      <c r="P69" s="105">
        <f>IF($N$43&lt;3.25,0.00000278*(IF(ABS('Chemical Properties'!F63)&gt;0,'Chemical Properties'!F63,'Chemical Properties'!F26)/$F$14)^(2/3),IF($N$82&lt;14,IF($N$84&lt;0.3,0.000001+0.0144*$N$84^2.2*N69^(-0.5),0.000001+0.00341*$N$84*N69^(-0.5)),IF($N$82&lt;=51.2,(0.000000002605*$N$82+0.0000001277)*$N$43^2*(IF(ABS('Chemical Properties'!F63)&gt;0,'Chemical Properties'!F63,'Chemical Properties'!F26)/$F$14)^(2/3),0.000000261*$N$43^2*(IF(ABS('Chemical Properties'!F63)&gt;0,'Chemical Properties'!F63,'Chemical Properties'!F26)/$F$14)^(2/3))))</f>
        <v>0</v>
      </c>
      <c r="Q69" s="105" t="e">
        <f t="shared" si="3"/>
        <v>#DIV/0!</v>
      </c>
      <c r="R69" s="105">
        <f>IF($B$11=0,0,(8.22*10^(-9)*$F$10*$B$8*1.024^($B$4-20)*$F$9*10^6*18/($B$11*10.758*$F$4)))*(IF(ABS('Chemical Properties'!F63)&gt;0,'Chemical Properties'!F63,'Chemical Properties'!F26)/0.000024)^(0.5)</f>
        <v>0</v>
      </c>
      <c r="S69" s="105">
        <f>1.35*10^(-7)*$N$79^(1.42)*$N$78^(0.4)*$N$80^(-0.21)*IF(ABS('Chemical Properties'!G63)&gt;0,'Chemical Properties'!G63,'Chemical Properties'!G26)*29*$F$11^(-1)</f>
        <v>0</v>
      </c>
      <c r="T69" s="105">
        <f>IF(ABS('Chemical Properties'!E63)&gt;0,'Chemical Properties'!E63,'Chemical Properties'!E26)/($F$5*($B$4+273.15))</f>
        <v>0</v>
      </c>
      <c r="U69" s="105" t="e">
        <f>(R69*T69*S69)/(T69*S69+R69)</f>
        <v>#DIV/0!</v>
      </c>
      <c r="V69" s="105" t="e">
        <f>(P69*T69*Q69)/(T69*Q69+P69)</f>
        <v>#DIV/0!</v>
      </c>
      <c r="W69" s="105" t="e">
        <f>(U69*$B$11+V69*$F$8)/$B$3</f>
        <v>#DIV/0!</v>
      </c>
    </row>
    <row r="70" spans="13:23">
      <c r="M70" s="81" t="s">
        <v>60</v>
      </c>
      <c r="N70" s="105" t="e">
        <f>$F$3/($F$4*IF(ABS('Chemical Properties'!F64)&gt;0,'Chemical Properties'!F64,'Chemical Properties'!F27))</f>
        <v>#DIV/0!</v>
      </c>
      <c r="O70" s="105" t="e">
        <f>$F$6/($F$7*IF(ABS('Chemical Properties'!G64)&gt;0,'Chemical Properties'!G64,'Chemical Properties'!G27))</f>
        <v>#DIV/0!</v>
      </c>
      <c r="P70" s="105">
        <f>IF($N$43&lt;3.25,0.00000278*(IF(ABS('Chemical Properties'!F64)&gt;0,'Chemical Properties'!F64,'Chemical Properties'!F27)/$F$14)^(2/3),IF($N$82&lt;14,IF($N$84&lt;0.3,0.000001+0.0144*$N$84^2.2*N70^(-0.5),0.000001+0.00341*$N$84*N70^(-0.5)),IF($N$82&lt;=51.2,(0.000000002605*$N$82+0.0000001277)*$N$43^2*(IF(ABS('Chemical Properties'!F64)&gt;0,'Chemical Properties'!F64,'Chemical Properties'!F27)/$F$14)^(2/3),0.000000261*$N$43^2*(IF(ABS('Chemical Properties'!F64)&gt;0,'Chemical Properties'!F64,'Chemical Properties'!F27)/$F$14)^(2/3))))</f>
        <v>0</v>
      </c>
      <c r="Q70" s="105" t="e">
        <f t="shared" si="3"/>
        <v>#DIV/0!</v>
      </c>
      <c r="R70" s="105">
        <f>IF($B$11=0,0,(8.22*10^(-9)*$F$10*$B$8*1.024^($B$4-20)*$F$9*10^6*18/($B$11*10.758*$F$4)))*(IF(ABS('Chemical Properties'!F64)&gt;0,'Chemical Properties'!F64,'Chemical Properties'!F27)/0.000024)^(0.5)</f>
        <v>0</v>
      </c>
      <c r="S70" s="105">
        <f>1.35*10^(-7)*$N$79^(1.42)*$N$78^(0.4)*$N$80^(-0.21)*IF(ABS('Chemical Properties'!G64)&gt;0,'Chemical Properties'!G64,'Chemical Properties'!G27)*29*$F$11^(-1)</f>
        <v>0</v>
      </c>
      <c r="T70" s="105">
        <f>IF(ABS('Chemical Properties'!E64)&gt;0,'Chemical Properties'!E64,'Chemical Properties'!E27)/($F$5*($B$4+273.15))</f>
        <v>0</v>
      </c>
      <c r="U70" s="105" t="e">
        <f>(R70*T70*S70)/(T70*S70+R70)</f>
        <v>#DIV/0!</v>
      </c>
      <c r="V70" s="105" t="e">
        <f>(P70*T70*Q70)/(T70*Q70+P70)</f>
        <v>#DIV/0!</v>
      </c>
      <c r="W70" s="105" t="e">
        <f>(U70*$B$11+V70*$F$8)/$B$3</f>
        <v>#DIV/0!</v>
      </c>
    </row>
    <row r="71" spans="13:23">
      <c r="M71" s="65" t="s">
        <v>61</v>
      </c>
      <c r="N71" s="105" t="e">
        <f>$F$3/($F$4*IF(ABS('Chemical Properties'!F65)&gt;0,'Chemical Properties'!F65,'Chemical Properties'!F28))</f>
        <v>#DIV/0!</v>
      </c>
      <c r="O71" s="105" t="e">
        <f>$F$6/($F$7*IF(ABS('Chemical Properties'!G65)&gt;0,'Chemical Properties'!G65,'Chemical Properties'!G28))</f>
        <v>#DIV/0!</v>
      </c>
      <c r="P71" s="105">
        <f>IF($N$43&lt;3.25,0.00000278*(IF(ABS('Chemical Properties'!F65)&gt;0,'Chemical Properties'!F65,'Chemical Properties'!F28)/$F$14)^(2/3),IF($N$82&lt;14,IF($N$84&lt;0.3,0.000001+0.0144*$N$84^2.2*N71^(-0.5),0.000001+0.00341*$N$84*N71^(-0.5)),IF($N$82&lt;=51.2,(0.000000002605*$N$82+0.0000001277)*$N$43^2*(IF(ABS('Chemical Properties'!F65)&gt;0,'Chemical Properties'!F65,'Chemical Properties'!F28)/$F$14)^(2/3),0.000000261*$N$43^2*(IF(ABS('Chemical Properties'!F65)&gt;0,'Chemical Properties'!F65,'Chemical Properties'!F28)/$F$14)^(2/3))))</f>
        <v>0</v>
      </c>
      <c r="Q71" s="105" t="e">
        <f t="shared" si="3"/>
        <v>#DIV/0!</v>
      </c>
      <c r="R71" s="105">
        <f>IF($B$11=0,0,(8.22*10^(-9)*$F$10*$B$8*1.024^($B$4-20)*$F$9*10^6*18/($B$11*10.758*$F$4)))*(IF(ABS('Chemical Properties'!F65)&gt;0,'Chemical Properties'!F65,'Chemical Properties'!F28)/0.000024)^(0.5)</f>
        <v>0</v>
      </c>
      <c r="S71" s="105">
        <f>1.35*10^(-7)*$N$79^(1.42)*$N$78^(0.4)*$N$80^(-0.21)*IF(ABS('Chemical Properties'!G65)&gt;0,'Chemical Properties'!G65,'Chemical Properties'!G28)*29*$F$11^(-1)</f>
        <v>0</v>
      </c>
      <c r="T71" s="105">
        <f>IF(ABS('Chemical Properties'!E65)&gt;0,'Chemical Properties'!E65,'Chemical Properties'!E28)/($F$5*($B$4+273.15))</f>
        <v>0</v>
      </c>
      <c r="U71" s="105" t="e">
        <f>(R71*T71*S71)/(T71*S71+R71)</f>
        <v>#DIV/0!</v>
      </c>
      <c r="V71" s="105" t="e">
        <f>(P71*T71*Q71)/(T71*Q71+P71)</f>
        <v>#DIV/0!</v>
      </c>
      <c r="W71" s="105" t="e">
        <f>(U71*$B$11+V71*$F$8)/$B$3</f>
        <v>#DIV/0!</v>
      </c>
    </row>
    <row r="72" spans="13:23">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Properties'!F29)/$F$14)^(2/3),IF($N$82&lt;14,IF($N$84&lt;0.3,0.000001+0.0144*$N$84^2.2*N72^(-0.5),0.000001+0.00341*$N$84*N72^(-0.5)),IF($N$82&lt;=51.2,(0.000000002605*$N$82+0.0000001277)*$N$43^2*(IF(ABS('Chemical Properties'!F66)&gt;0,'Chemical Properties'!F66,'Chemical Properties'!F29)/$F$14)^(2/3),0.000000261*$N$43^2*(IF(ABS('Chemical Properties'!F66)&gt;0,'Chemical Properties'!F66,'Chemical Properties'!F29)/$F$14)^(2/3))))</f>
        <v>5.8855517194061878E-6</v>
      </c>
      <c r="Q72" s="105">
        <f t="shared" si="3"/>
        <v>6.3698762790895406E-3</v>
      </c>
      <c r="R72" s="105">
        <f>IF($B$11=0,0,(8.22*10^(-9)*$F$10*$B$8*1.024^($B$4-20)*$F$9*10^6*18/($B$11*10.758*$F$4)))*(IF(ABS('Chemical Properties'!F66)&gt;0,'Chemical Properties'!F66,'Chemical Properties'!F29)/0.000024)^(0.5)</f>
        <v>4.3818263264165465E-5</v>
      </c>
      <c r="S72" s="105">
        <f>1.35*10^(-7)*$N$79^(1.42)*$N$78^(0.4)*$N$80^(-0.21)*IF(ABS('Chemical Properties'!G66)&gt;0,'Chemical Properties'!G66,'Chemical Properties'!G29)*29*$F$11^(-1)</f>
        <v>0.10571424838292791</v>
      </c>
      <c r="T72" s="105">
        <f>IF(ABS('Chemical Properties'!E66)&gt;0,'Chemical Properties'!E66,'Chemical Properties'!E29)/($F$5*($B$4+273.15))</f>
        <v>39.607237951738789</v>
      </c>
      <c r="U72" s="105">
        <f>(R72*T72*S72)/(T72*S72+R72)</f>
        <v>4.3817804702557279E-5</v>
      </c>
      <c r="V72" s="105">
        <f>(P72*T72*Q72)/(T72*Q72+P72)</f>
        <v>5.8854144231563436E-6</v>
      </c>
      <c r="W72" s="105">
        <f>(U72*$B$11+V72*$F$8)/$B$3</f>
        <v>4.3817804702557279E-5</v>
      </c>
    </row>
    <row r="74" spans="13:23">
      <c r="M74" s="91"/>
      <c r="N74" s="107"/>
      <c r="O74" s="107"/>
      <c r="P74" s="107"/>
      <c r="Q74" s="107"/>
      <c r="R74" s="107"/>
      <c r="S74" s="107"/>
      <c r="T74" s="107"/>
      <c r="U74" s="107"/>
      <c r="V74" s="107"/>
      <c r="W74" s="107"/>
    </row>
    <row r="75" spans="13:23">
      <c r="N75" s="106"/>
      <c r="O75" s="107"/>
      <c r="P75" s="107"/>
      <c r="Q75" s="107"/>
      <c r="R75" s="107"/>
      <c r="S75" s="107"/>
      <c r="T75" s="107"/>
      <c r="U75" s="107"/>
      <c r="V75" s="107"/>
      <c r="W75" s="107"/>
    </row>
    <row r="76" spans="13:23">
      <c r="N76" s="106"/>
      <c r="O76" s="107"/>
      <c r="P76" s="107"/>
      <c r="Q76" s="107"/>
      <c r="R76" s="107"/>
      <c r="S76" s="107"/>
      <c r="T76" s="107"/>
      <c r="U76" s="107"/>
      <c r="V76" s="107"/>
      <c r="W76" s="107"/>
    </row>
    <row r="77" spans="13:23">
      <c r="M77" s="55"/>
      <c r="N77" s="107"/>
      <c r="O77" s="107"/>
      <c r="P77" s="107"/>
      <c r="Q77" s="107"/>
      <c r="R77" s="107"/>
      <c r="S77" s="107"/>
      <c r="T77" s="107"/>
      <c r="U77" s="107"/>
      <c r="V77" s="107"/>
      <c r="W77" s="107"/>
    </row>
    <row r="78" spans="13:23">
      <c r="M78" s="71" t="s">
        <v>39</v>
      </c>
      <c r="N78" s="105">
        <f>(((0.85*550*B8/B9)*32.17)/((62.428*F4)*F13^(3)*(F11/30.48)^(5)))</f>
        <v>3.7511744125580328E-4</v>
      </c>
      <c r="O78" s="107"/>
      <c r="P78" s="107"/>
      <c r="Q78" s="107"/>
      <c r="R78" s="107"/>
      <c r="S78" s="107"/>
      <c r="T78" s="107"/>
      <c r="U78" s="107"/>
      <c r="V78" s="107"/>
      <c r="W78" s="107"/>
    </row>
    <row r="79" spans="13:23">
      <c r="M79" s="71" t="s">
        <v>40</v>
      </c>
      <c r="N79" s="105">
        <f>(F11^(2)*F13*F7/F6)</f>
        <v>3108371.2707182318</v>
      </c>
      <c r="O79" s="107"/>
      <c r="P79" s="107"/>
      <c r="Q79" s="107"/>
      <c r="R79" s="107"/>
      <c r="S79" s="107"/>
      <c r="T79" s="107"/>
      <c r="U79" s="107"/>
      <c r="V79" s="107"/>
      <c r="W79" s="107"/>
    </row>
    <row r="80" spans="13:23">
      <c r="M80" s="71" t="s">
        <v>41</v>
      </c>
      <c r="N80" s="105">
        <f>F12*F13^(2)/32.17</f>
        <v>987.4013304320797</v>
      </c>
      <c r="O80" s="107"/>
      <c r="P80" s="107"/>
      <c r="Q80" s="107"/>
      <c r="R80" s="107"/>
      <c r="S80" s="107"/>
      <c r="T80" s="107"/>
      <c r="U80" s="107"/>
      <c r="V80" s="107"/>
      <c r="W80" s="107"/>
    </row>
    <row r="81" spans="13:23" ht="15.75">
      <c r="M81" s="71" t="s">
        <v>133</v>
      </c>
      <c r="N81" s="105">
        <f>B11*10.758</f>
        <v>537900</v>
      </c>
      <c r="O81" s="107"/>
      <c r="P81" s="107"/>
      <c r="Q81" s="107"/>
      <c r="R81" s="107"/>
      <c r="S81" s="107"/>
      <c r="T81" s="107"/>
      <c r="U81" s="107"/>
      <c r="V81" s="107"/>
      <c r="W81" s="106"/>
    </row>
    <row r="82" spans="13:23">
      <c r="M82" s="71" t="s">
        <v>54</v>
      </c>
      <c r="N82" s="105">
        <f>2*($B$3/PI())^0.5/$B$7</f>
        <v>50.462650440403202</v>
      </c>
      <c r="O82" s="107"/>
      <c r="P82" s="107"/>
      <c r="Q82" s="107"/>
      <c r="R82" s="107"/>
      <c r="S82" s="107"/>
      <c r="T82" s="107"/>
      <c r="U82" s="107"/>
      <c r="V82" s="107"/>
      <c r="W82" s="106"/>
    </row>
    <row r="83" spans="13:23">
      <c r="M83" s="71" t="s">
        <v>55</v>
      </c>
      <c r="N83" s="105">
        <f>2*(B3/3.14)^(0.5)</f>
        <v>252.37723256253437</v>
      </c>
      <c r="O83" s="106"/>
      <c r="P83" s="106"/>
      <c r="Q83" s="106"/>
      <c r="R83" s="106"/>
      <c r="S83" s="106"/>
      <c r="T83" s="106"/>
      <c r="U83" s="106"/>
      <c r="V83" s="106"/>
      <c r="W83" s="106"/>
    </row>
    <row r="84" spans="13:23">
      <c r="M84" s="71" t="s">
        <v>87</v>
      </c>
      <c r="N84" s="105">
        <f>0.01*$N$43*(6.1+0.63*$N$43)^0.5</f>
        <v>0.13347348144481735</v>
      </c>
    </row>
    <row r="89" spans="13:23">
      <c r="M89" s="307" t="s">
        <v>159</v>
      </c>
      <c r="N89" s="307"/>
      <c r="O89" s="307"/>
      <c r="P89" s="307"/>
      <c r="Q89" s="307"/>
      <c r="R89" s="307"/>
      <c r="S89" s="135"/>
      <c r="T89" s="135"/>
    </row>
    <row r="90" spans="13:23" ht="38.25">
      <c r="M90" s="128" t="s">
        <v>153</v>
      </c>
      <c r="N90" s="129" t="s">
        <v>155</v>
      </c>
      <c r="O90" s="129" t="s">
        <v>156</v>
      </c>
      <c r="P90" s="129" t="s">
        <v>157</v>
      </c>
      <c r="Q90" s="129" t="s">
        <v>158</v>
      </c>
      <c r="R90" s="129" t="s">
        <v>154</v>
      </c>
      <c r="S90" s="88"/>
      <c r="T90" s="132"/>
    </row>
    <row r="91" spans="13:23">
      <c r="M91" s="60" t="s">
        <v>17</v>
      </c>
      <c r="N91" s="72">
        <f>$B$6*B15</f>
        <v>8.8410000000000002E-2</v>
      </c>
      <c r="O91" s="127">
        <f>M3*$B$6</f>
        <v>7.3215805412265057E-3</v>
      </c>
      <c r="P91" s="127">
        <f>K3</f>
        <v>8.10884194587735E-2</v>
      </c>
      <c r="Q91" s="130">
        <f t="shared" ref="Q91:Q112" si="7">O91/N91*100</f>
        <v>8.2813941196996996</v>
      </c>
      <c r="R91" s="130">
        <f t="shared" ref="R91:R112" si="8">P91/N91*100</f>
        <v>91.718605880300302</v>
      </c>
      <c r="S91" s="88"/>
      <c r="T91" s="133"/>
    </row>
    <row r="92" spans="13:23">
      <c r="M92" s="62" t="s">
        <v>6</v>
      </c>
      <c r="N92" s="72">
        <f t="shared" ref="N92:N112" si="9">$B$6*B16</f>
        <v>8.8410000000000002E-2</v>
      </c>
      <c r="O92" s="127">
        <f t="shared" ref="O92:O112" si="10">M4*$B$6</f>
        <v>3.5187999920650221E-3</v>
      </c>
      <c r="P92" s="127">
        <f t="shared" ref="P92:P112" si="11">K4</f>
        <v>8.4891200007934972E-2</v>
      </c>
      <c r="Q92" s="130">
        <f t="shared" si="7"/>
        <v>3.980092740713745</v>
      </c>
      <c r="R92" s="130">
        <f t="shared" si="8"/>
        <v>96.019907259286242</v>
      </c>
      <c r="S92" s="88"/>
      <c r="T92" s="133"/>
    </row>
    <row r="93" spans="13:23">
      <c r="M93" s="62" t="s">
        <v>13</v>
      </c>
      <c r="N93" s="72">
        <f t="shared" si="9"/>
        <v>8.8410000000000002E-2</v>
      </c>
      <c r="O93" s="127">
        <f t="shared" si="10"/>
        <v>3.4793147041575984E-3</v>
      </c>
      <c r="P93" s="127">
        <f t="shared" si="11"/>
        <v>8.4930685295842384E-2</v>
      </c>
      <c r="Q93" s="130">
        <f t="shared" si="7"/>
        <v>3.9354311776468704</v>
      </c>
      <c r="R93" s="130">
        <f t="shared" si="8"/>
        <v>96.064568822353095</v>
      </c>
      <c r="S93" s="88"/>
      <c r="T93" s="133"/>
    </row>
    <row r="94" spans="13:23">
      <c r="M94" s="60" t="s">
        <v>69</v>
      </c>
      <c r="N94" s="72">
        <f t="shared" si="9"/>
        <v>8.8410000000000002E-2</v>
      </c>
      <c r="O94" s="127">
        <f t="shared" si="10"/>
        <v>4.2245001697280493E-3</v>
      </c>
      <c r="P94" s="127">
        <f t="shared" si="11"/>
        <v>8.4185499830271945E-2</v>
      </c>
      <c r="Q94" s="130">
        <f t="shared" si="7"/>
        <v>4.7783058135143639</v>
      </c>
      <c r="R94" s="130">
        <f t="shared" si="8"/>
        <v>95.221694186485621</v>
      </c>
      <c r="S94" s="88"/>
      <c r="T94" s="133"/>
    </row>
    <row r="95" spans="13:23">
      <c r="M95" s="62" t="s">
        <v>9</v>
      </c>
      <c r="N95" s="72">
        <f t="shared" si="9"/>
        <v>8.8410000000000002E-2</v>
      </c>
      <c r="O95" s="127">
        <f t="shared" si="10"/>
        <v>4.1044979540792084E-3</v>
      </c>
      <c r="P95" s="127">
        <f t="shared" si="11"/>
        <v>8.4305502045920785E-2</v>
      </c>
      <c r="Q95" s="130">
        <f t="shared" si="7"/>
        <v>4.6425720552869674</v>
      </c>
      <c r="R95" s="130">
        <f t="shared" si="8"/>
        <v>95.357427944713024</v>
      </c>
      <c r="S95" s="88"/>
      <c r="T95" s="133"/>
    </row>
    <row r="96" spans="13:23">
      <c r="M96" s="63" t="s">
        <v>7</v>
      </c>
      <c r="N96" s="72">
        <f t="shared" si="9"/>
        <v>8.8410000000000002E-2</v>
      </c>
      <c r="O96" s="127">
        <f t="shared" si="10"/>
        <v>4.1003963705773406E-3</v>
      </c>
      <c r="P96" s="127">
        <f t="shared" si="11"/>
        <v>8.430960362942265E-2</v>
      </c>
      <c r="Q96" s="130">
        <f t="shared" si="7"/>
        <v>4.6379327797504137</v>
      </c>
      <c r="R96" s="130">
        <f t="shared" si="8"/>
        <v>95.362067220249571</v>
      </c>
      <c r="S96" s="88"/>
      <c r="T96" s="133"/>
    </row>
    <row r="97" spans="13:20">
      <c r="M97" s="62" t="s">
        <v>8</v>
      </c>
      <c r="N97" s="72">
        <f t="shared" si="9"/>
        <v>8.8410000000000002E-2</v>
      </c>
      <c r="O97" s="127">
        <f t="shared" si="10"/>
        <v>3.9234259259329522E-3</v>
      </c>
      <c r="P97" s="127">
        <f t="shared" si="11"/>
        <v>8.4486574074067053E-2</v>
      </c>
      <c r="Q97" s="130">
        <f t="shared" si="7"/>
        <v>4.4377626127507659</v>
      </c>
      <c r="R97" s="130">
        <f t="shared" si="8"/>
        <v>95.56223738724924</v>
      </c>
      <c r="S97" s="88"/>
      <c r="T97" s="133"/>
    </row>
    <row r="98" spans="13:20">
      <c r="M98" s="62" t="s">
        <v>11</v>
      </c>
      <c r="N98" s="72">
        <f t="shared" si="9"/>
        <v>8.8410000000000002E-2</v>
      </c>
      <c r="O98" s="127">
        <f t="shared" si="10"/>
        <v>3.8873356838519568E-3</v>
      </c>
      <c r="P98" s="127">
        <f t="shared" si="11"/>
        <v>8.4522664316148036E-2</v>
      </c>
      <c r="Q98" s="130">
        <f t="shared" si="7"/>
        <v>4.3969411648591299</v>
      </c>
      <c r="R98" s="130">
        <f t="shared" si="8"/>
        <v>95.603058835140871</v>
      </c>
      <c r="S98" s="88"/>
      <c r="T98" s="133"/>
    </row>
    <row r="99" spans="13:20">
      <c r="M99" s="63" t="s">
        <v>70</v>
      </c>
      <c r="N99" s="72">
        <f t="shared" si="9"/>
        <v>8.8410000000000002E-2</v>
      </c>
      <c r="O99" s="127">
        <f t="shared" si="10"/>
        <v>3.3521340270142451E-3</v>
      </c>
      <c r="P99" s="127">
        <f t="shared" si="11"/>
        <v>8.5057865972985744E-2</v>
      </c>
      <c r="Q99" s="130">
        <f t="shared" si="7"/>
        <v>3.7915779063615487</v>
      </c>
      <c r="R99" s="130">
        <f t="shared" si="8"/>
        <v>96.208422093638433</v>
      </c>
      <c r="S99" s="88"/>
      <c r="T99" s="133"/>
    </row>
    <row r="100" spans="13:20">
      <c r="M100" s="63" t="s">
        <v>16</v>
      </c>
      <c r="N100" s="72">
        <f t="shared" si="9"/>
        <v>0</v>
      </c>
      <c r="O100" s="127">
        <f t="shared" si="10"/>
        <v>0</v>
      </c>
      <c r="P100" s="127">
        <f t="shared" si="11"/>
        <v>0</v>
      </c>
      <c r="Q100" s="130" t="e">
        <f t="shared" si="7"/>
        <v>#DIV/0!</v>
      </c>
      <c r="R100" s="130" t="e">
        <f t="shared" si="8"/>
        <v>#DIV/0!</v>
      </c>
      <c r="S100" s="88"/>
      <c r="T100" s="133"/>
    </row>
    <row r="101" spans="13:20">
      <c r="M101" s="60" t="s">
        <v>71</v>
      </c>
      <c r="N101" s="72">
        <f t="shared" si="9"/>
        <v>0</v>
      </c>
      <c r="O101" s="127">
        <f t="shared" si="10"/>
        <v>0</v>
      </c>
      <c r="P101" s="127">
        <f t="shared" si="11"/>
        <v>0</v>
      </c>
      <c r="Q101" s="130" t="e">
        <f t="shared" si="7"/>
        <v>#DIV/0!</v>
      </c>
      <c r="R101" s="130" t="e">
        <f t="shared" si="8"/>
        <v>#DIV/0!</v>
      </c>
      <c r="S101" s="88"/>
      <c r="T101" s="133"/>
    </row>
    <row r="102" spans="13:20">
      <c r="M102" s="62" t="s">
        <v>12</v>
      </c>
      <c r="N102" s="72">
        <f t="shared" si="9"/>
        <v>0</v>
      </c>
      <c r="O102" s="127">
        <f t="shared" si="10"/>
        <v>0</v>
      </c>
      <c r="P102" s="127">
        <f t="shared" si="11"/>
        <v>0</v>
      </c>
      <c r="Q102" s="130" t="e">
        <f t="shared" si="7"/>
        <v>#DIV/0!</v>
      </c>
      <c r="R102" s="130" t="e">
        <f t="shared" si="8"/>
        <v>#DIV/0!</v>
      </c>
      <c r="S102" s="88"/>
      <c r="T102" s="133"/>
    </row>
    <row r="103" spans="13:20">
      <c r="M103" s="62" t="s">
        <v>10</v>
      </c>
      <c r="N103" s="72">
        <f t="shared" si="9"/>
        <v>0</v>
      </c>
      <c r="O103" s="127">
        <f t="shared" si="10"/>
        <v>0</v>
      </c>
      <c r="P103" s="127">
        <f t="shared" si="11"/>
        <v>0</v>
      </c>
      <c r="Q103" s="130" t="e">
        <f t="shared" si="7"/>
        <v>#DIV/0!</v>
      </c>
      <c r="R103" s="130" t="e">
        <f t="shared" si="8"/>
        <v>#DIV/0!</v>
      </c>
      <c r="S103" s="88"/>
      <c r="T103" s="133"/>
    </row>
    <row r="104" spans="13:20">
      <c r="M104" s="63" t="s">
        <v>72</v>
      </c>
      <c r="N104" s="72">
        <f t="shared" si="9"/>
        <v>0</v>
      </c>
      <c r="O104" s="127">
        <f t="shared" si="10"/>
        <v>0</v>
      </c>
      <c r="P104" s="127">
        <f t="shared" si="11"/>
        <v>0</v>
      </c>
      <c r="Q104" s="130" t="e">
        <f t="shared" si="7"/>
        <v>#DIV/0!</v>
      </c>
      <c r="R104" s="130" t="e">
        <f t="shared" si="8"/>
        <v>#DIV/0!</v>
      </c>
      <c r="S104" s="88"/>
      <c r="T104" s="133"/>
    </row>
    <row r="105" spans="13:20">
      <c r="M105" s="63" t="s">
        <v>73</v>
      </c>
      <c r="N105" s="72">
        <f t="shared" si="9"/>
        <v>0</v>
      </c>
      <c r="O105" s="127">
        <f t="shared" si="10"/>
        <v>0</v>
      </c>
      <c r="P105" s="127">
        <f t="shared" si="11"/>
        <v>0</v>
      </c>
      <c r="Q105" s="130" t="e">
        <f t="shared" si="7"/>
        <v>#DIV/0!</v>
      </c>
      <c r="R105" s="130" t="e">
        <f t="shared" si="8"/>
        <v>#DIV/0!</v>
      </c>
      <c r="S105" s="88"/>
      <c r="T105" s="133"/>
    </row>
    <row r="106" spans="13:20">
      <c r="M106" s="64" t="s">
        <v>74</v>
      </c>
      <c r="N106" s="72">
        <f t="shared" si="9"/>
        <v>0</v>
      </c>
      <c r="O106" s="127">
        <f t="shared" si="10"/>
        <v>0</v>
      </c>
      <c r="P106" s="127">
        <f t="shared" si="11"/>
        <v>0</v>
      </c>
      <c r="Q106" s="130" t="e">
        <f t="shared" si="7"/>
        <v>#DIV/0!</v>
      </c>
      <c r="R106" s="130" t="e">
        <f t="shared" si="8"/>
        <v>#DIV/0!</v>
      </c>
      <c r="S106" s="88"/>
      <c r="T106" s="133"/>
    </row>
    <row r="107" spans="13:20">
      <c r="M107" s="63" t="s">
        <v>75</v>
      </c>
      <c r="N107" s="72">
        <f t="shared" si="9"/>
        <v>0</v>
      </c>
      <c r="O107" s="127">
        <f t="shared" si="10"/>
        <v>0</v>
      </c>
      <c r="P107" s="127">
        <f t="shared" si="11"/>
        <v>0</v>
      </c>
      <c r="Q107" s="130" t="e">
        <f t="shared" si="7"/>
        <v>#DIV/0!</v>
      </c>
      <c r="R107" s="130" t="e">
        <f t="shared" si="8"/>
        <v>#DIV/0!</v>
      </c>
      <c r="S107" s="88"/>
      <c r="T107" s="133"/>
    </row>
    <row r="108" spans="13:20">
      <c r="M108" s="64" t="s">
        <v>78</v>
      </c>
      <c r="N108" s="72">
        <f t="shared" si="9"/>
        <v>0</v>
      </c>
      <c r="O108" s="127">
        <f t="shared" si="10"/>
        <v>0</v>
      </c>
      <c r="P108" s="127">
        <f t="shared" si="11"/>
        <v>0</v>
      </c>
      <c r="Q108" s="130" t="e">
        <f t="shared" si="7"/>
        <v>#DIV/0!</v>
      </c>
      <c r="R108" s="130" t="e">
        <f t="shared" si="8"/>
        <v>#DIV/0!</v>
      </c>
      <c r="S108" s="88"/>
      <c r="T108" s="133"/>
    </row>
    <row r="109" spans="13:20">
      <c r="M109" s="65" t="s">
        <v>14</v>
      </c>
      <c r="N109" s="72">
        <f t="shared" si="9"/>
        <v>0</v>
      </c>
      <c r="O109" s="127">
        <f t="shared" si="10"/>
        <v>0</v>
      </c>
      <c r="P109" s="127">
        <f t="shared" si="11"/>
        <v>0</v>
      </c>
      <c r="Q109" s="130" t="e">
        <f t="shared" si="7"/>
        <v>#DIV/0!</v>
      </c>
      <c r="R109" s="130" t="e">
        <f t="shared" si="8"/>
        <v>#DIV/0!</v>
      </c>
      <c r="S109" s="88"/>
      <c r="T109" s="133"/>
    </row>
    <row r="110" spans="13:20">
      <c r="M110" s="65" t="s">
        <v>79</v>
      </c>
      <c r="N110" s="72">
        <f t="shared" si="9"/>
        <v>0</v>
      </c>
      <c r="O110" s="127">
        <f t="shared" si="10"/>
        <v>0</v>
      </c>
      <c r="P110" s="127">
        <f t="shared" si="11"/>
        <v>0</v>
      </c>
      <c r="Q110" s="130" t="e">
        <f t="shared" si="7"/>
        <v>#DIV/0!</v>
      </c>
      <c r="R110" s="130" t="e">
        <f t="shared" si="8"/>
        <v>#DIV/0!</v>
      </c>
      <c r="S110" s="88"/>
      <c r="T110" s="133"/>
    </row>
    <row r="111" spans="13:20">
      <c r="M111" s="65" t="s">
        <v>15</v>
      </c>
      <c r="N111" s="72">
        <f t="shared" si="9"/>
        <v>0</v>
      </c>
      <c r="O111" s="127">
        <f t="shared" si="10"/>
        <v>0</v>
      </c>
      <c r="P111" s="127">
        <f t="shared" si="11"/>
        <v>0</v>
      </c>
      <c r="Q111" s="130" t="e">
        <f t="shared" si="7"/>
        <v>#DIV/0!</v>
      </c>
      <c r="R111" s="130" t="e">
        <f t="shared" si="8"/>
        <v>#DIV/0!</v>
      </c>
      <c r="S111" s="88"/>
      <c r="T111" s="133"/>
    </row>
    <row r="112" spans="13:20">
      <c r="M112" s="65" t="s">
        <v>80</v>
      </c>
      <c r="N112" s="72">
        <f t="shared" si="9"/>
        <v>0</v>
      </c>
      <c r="O112" s="127">
        <f t="shared" si="10"/>
        <v>0</v>
      </c>
      <c r="P112" s="127">
        <f t="shared" si="11"/>
        <v>0</v>
      </c>
      <c r="Q112" s="130" t="e">
        <f t="shared" si="7"/>
        <v>#DIV/0!</v>
      </c>
      <c r="R112" s="130" t="e">
        <f t="shared" si="8"/>
        <v>#DIV/0!</v>
      </c>
      <c r="S112" s="88"/>
      <c r="T112" s="133"/>
    </row>
    <row r="113" spans="13:20">
      <c r="M113" s="65" t="s">
        <v>59</v>
      </c>
      <c r="N113" s="72">
        <f>$B$6*B37</f>
        <v>0</v>
      </c>
      <c r="O113" s="127" t="e">
        <f>M25*$B$6</f>
        <v>#DIV/0!</v>
      </c>
      <c r="P113" s="127" t="e">
        <f>K25</f>
        <v>#DIV/0!</v>
      </c>
      <c r="Q113" s="130" t="e">
        <f>O113/N113*100</f>
        <v>#DIV/0!</v>
      </c>
      <c r="R113" s="130" t="e">
        <f>P113/N113*100</f>
        <v>#DIV/0!</v>
      </c>
      <c r="S113" s="88"/>
      <c r="T113" s="133"/>
    </row>
    <row r="114" spans="13:20">
      <c r="M114" s="81" t="s">
        <v>60</v>
      </c>
      <c r="N114" s="72">
        <f>$B$6*B38</f>
        <v>0</v>
      </c>
      <c r="O114" s="127" t="e">
        <f>M26*$B$6</f>
        <v>#DIV/0!</v>
      </c>
      <c r="P114" s="127" t="e">
        <f>K26</f>
        <v>#DIV/0!</v>
      </c>
      <c r="Q114" s="130" t="e">
        <f>O114/N114*100</f>
        <v>#DIV/0!</v>
      </c>
      <c r="R114" s="130" t="e">
        <f>P114/N114*100</f>
        <v>#DIV/0!</v>
      </c>
      <c r="S114" s="88"/>
      <c r="T114" s="133"/>
    </row>
    <row r="115" spans="13:20">
      <c r="M115" s="65" t="s">
        <v>61</v>
      </c>
      <c r="N115" s="72">
        <f>$B$6*B39</f>
        <v>0</v>
      </c>
      <c r="O115" s="127" t="e">
        <f>M27*$B$6</f>
        <v>#DIV/0!</v>
      </c>
      <c r="P115" s="127" t="e">
        <f>K27</f>
        <v>#DIV/0!</v>
      </c>
      <c r="Q115" s="130" t="e">
        <f>O115/N115*100</f>
        <v>#DIV/0!</v>
      </c>
      <c r="R115" s="130" t="e">
        <f>P115/N115*100</f>
        <v>#DIV/0!</v>
      </c>
      <c r="S115" s="88"/>
      <c r="T115" s="133"/>
    </row>
    <row r="116" spans="13:20">
      <c r="M116" s="65" t="s">
        <v>256</v>
      </c>
      <c r="N116" s="72">
        <f>$B$6*B40</f>
        <v>0</v>
      </c>
      <c r="O116" s="127">
        <f>M28*$B$6</f>
        <v>0</v>
      </c>
      <c r="P116" s="127">
        <f>K28</f>
        <v>0</v>
      </c>
      <c r="Q116" s="130" t="e">
        <f>O116/N116*100</f>
        <v>#DIV/0!</v>
      </c>
      <c r="R116" s="130" t="e">
        <f>P116/N116*100</f>
        <v>#DIV/0!</v>
      </c>
      <c r="S116" s="88"/>
      <c r="T116" s="133"/>
    </row>
    <row r="117" spans="13:20">
      <c r="S117" s="88"/>
      <c r="T117" s="133"/>
    </row>
    <row r="118" spans="13:20">
      <c r="M118" s="91"/>
      <c r="N118" s="222"/>
      <c r="O118" s="254"/>
      <c r="P118" s="254"/>
      <c r="Q118" s="255"/>
      <c r="R118" s="255"/>
      <c r="S118" s="88"/>
      <c r="T118" s="133"/>
    </row>
    <row r="119" spans="13:20">
      <c r="S119" s="88"/>
      <c r="T119" s="88"/>
    </row>
  </sheetData>
  <mergeCells count="4">
    <mergeCell ref="A14:C14"/>
    <mergeCell ref="I46:K46"/>
    <mergeCell ref="A1:E1"/>
    <mergeCell ref="M89:R89"/>
  </mergeCells>
  <phoneticPr fontId="5" type="noConversion"/>
  <pageMargins left="0.75" right="0.75" top="1" bottom="1" header="0.5" footer="0.5"/>
  <pageSetup scale="24"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002060"/>
    <pageSetUpPr fitToPage="1"/>
  </sheetPr>
  <dimension ref="A1:AB116"/>
  <sheetViews>
    <sheetView topLeftCell="G19" zoomScaleNormal="100" workbookViewId="0">
      <selection activeCell="M44" sqref="M44"/>
    </sheetView>
  </sheetViews>
  <sheetFormatPr defaultRowHeight="12.75"/>
  <cols>
    <col min="1" max="1" width="59.42578125" style="57" customWidth="1"/>
    <col min="2" max="2" width="10" style="57" bestFit="1" customWidth="1"/>
    <col min="3" max="3" width="9.140625" style="57"/>
    <col min="4" max="4" width="2.42578125" style="57" customWidth="1"/>
    <col min="5" max="5" width="67.42578125" style="57" customWidth="1"/>
    <col min="6" max="6" width="10" style="57" bestFit="1" customWidth="1"/>
    <col min="7" max="7" width="13.42578125" style="57" customWidth="1"/>
    <col min="8" max="8" width="17" style="57" customWidth="1"/>
    <col min="9" max="9" width="4" style="57" customWidth="1"/>
    <col min="10" max="10" width="31.42578125" style="57" customWidth="1"/>
    <col min="11" max="11" width="23" style="57" bestFit="1" customWidth="1"/>
    <col min="12" max="12" width="9.140625" style="57"/>
    <col min="13" max="13" width="35.140625" style="57" customWidth="1"/>
    <col min="14" max="14" width="12.42578125" style="57" bestFit="1" customWidth="1"/>
    <col min="15" max="15" width="10" style="57" bestFit="1" customWidth="1"/>
    <col min="16" max="16" width="12.5703125" style="57" bestFit="1" customWidth="1"/>
    <col min="17" max="17" width="12.42578125" style="57" bestFit="1" customWidth="1"/>
    <col min="18" max="18" width="14.140625" style="57" customWidth="1"/>
    <col min="19" max="19" width="11.42578125" style="57" customWidth="1"/>
    <col min="20" max="20" width="10" style="57" bestFit="1" customWidth="1"/>
    <col min="21" max="22" width="12.42578125" style="57" bestFit="1" customWidth="1"/>
    <col min="23" max="23" width="13" style="57" customWidth="1"/>
    <col min="24" max="24" width="11.5703125" style="57" customWidth="1"/>
    <col min="25" max="25" width="11" style="57" customWidth="1"/>
    <col min="26" max="26" width="11.7109375" style="57" customWidth="1"/>
    <col min="27" max="27" width="12" style="57" customWidth="1"/>
    <col min="28" max="16384" width="9.140625" style="57"/>
  </cols>
  <sheetData>
    <row r="1" spans="1:15" ht="42.75" customHeight="1">
      <c r="A1" s="305" t="s">
        <v>269</v>
      </c>
      <c r="B1" s="300"/>
      <c r="C1" s="300"/>
      <c r="D1" s="300"/>
      <c r="E1" s="300"/>
    </row>
    <row r="2" spans="1:15">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5" ht="15.75">
      <c r="A3" s="109" t="s">
        <v>56</v>
      </c>
      <c r="B3" s="75">
        <v>4.47</v>
      </c>
      <c r="C3" s="59" t="s">
        <v>0</v>
      </c>
      <c r="D3" s="58"/>
      <c r="E3" s="71" t="s">
        <v>164</v>
      </c>
      <c r="F3" s="75">
        <f t="shared" ref="F3:F11" si="0">H3</f>
        <v>8.9300000000000004E-3</v>
      </c>
      <c r="G3" s="72" t="s">
        <v>25</v>
      </c>
      <c r="H3" s="101">
        <v>8.9300000000000004E-3</v>
      </c>
      <c r="I3" s="58"/>
      <c r="J3" s="60" t="s">
        <v>17</v>
      </c>
      <c r="K3" s="172">
        <f t="shared" ref="K3:K24" si="1">IF(ABS((W47*$B$4+$N$78*V47)*M3)&gt;N89,N89,(W47*$B$4+$N$78*V47)*M3)</f>
        <v>8.2679543293897174E-4</v>
      </c>
      <c r="L3" s="72" t="s">
        <v>23</v>
      </c>
      <c r="M3" s="173">
        <f t="shared" ref="M3:M24" si="2">(-Y47+((Y47^(2)-4*X47*Z47)^(0.5)))/(2*X47)</f>
        <v>0.41270349114102506</v>
      </c>
      <c r="N3" s="59" t="s">
        <v>18</v>
      </c>
    </row>
    <row r="4" spans="1:15" ht="15.75">
      <c r="A4" s="109" t="s">
        <v>122</v>
      </c>
      <c r="B4" s="111">
        <v>1225</v>
      </c>
      <c r="C4" s="59" t="s">
        <v>1</v>
      </c>
      <c r="D4" s="58"/>
      <c r="E4" s="71" t="s">
        <v>34</v>
      </c>
      <c r="F4" s="75">
        <f t="shared" si="0"/>
        <v>1</v>
      </c>
      <c r="G4" s="72" t="s">
        <v>26</v>
      </c>
      <c r="H4" s="101">
        <v>1</v>
      </c>
      <c r="I4" s="58"/>
      <c r="J4" s="62" t="s">
        <v>6</v>
      </c>
      <c r="K4" s="172">
        <f t="shared" si="1"/>
        <v>8.846881461458396E-2</v>
      </c>
      <c r="L4" s="72" t="s">
        <v>23</v>
      </c>
      <c r="M4" s="173">
        <f t="shared" si="2"/>
        <v>8.3305383395668758E-2</v>
      </c>
      <c r="N4" s="59" t="s">
        <v>18</v>
      </c>
    </row>
    <row r="5" spans="1:15" ht="14.25">
      <c r="A5" s="99" t="s">
        <v>123</v>
      </c>
      <c r="B5" s="75">
        <v>25</v>
      </c>
      <c r="C5" s="59" t="s">
        <v>37</v>
      </c>
      <c r="D5" s="58"/>
      <c r="E5" s="71" t="s">
        <v>36</v>
      </c>
      <c r="F5" s="75">
        <f t="shared" si="0"/>
        <v>8.2100000000000003E-5</v>
      </c>
      <c r="G5" s="72" t="s">
        <v>162</v>
      </c>
      <c r="H5" s="101">
        <v>8.2100000000000003E-5</v>
      </c>
      <c r="I5" s="58"/>
      <c r="J5" s="62" t="s">
        <v>13</v>
      </c>
      <c r="K5" s="172">
        <f t="shared" si="1"/>
        <v>0.43613953830719304</v>
      </c>
      <c r="L5" s="72" t="s">
        <v>23</v>
      </c>
      <c r="M5" s="173">
        <f t="shared" si="2"/>
        <v>7.6655470280088747E-2</v>
      </c>
      <c r="N5" s="59" t="s">
        <v>18</v>
      </c>
    </row>
    <row r="6" spans="1:15" ht="15.75">
      <c r="A6" s="99" t="s">
        <v>130</v>
      </c>
      <c r="B6" s="112">
        <v>1</v>
      </c>
      <c r="C6" s="82" t="s">
        <v>3</v>
      </c>
      <c r="D6" s="58"/>
      <c r="E6" s="71" t="s">
        <v>163</v>
      </c>
      <c r="F6" s="75">
        <f t="shared" si="0"/>
        <v>1.8100000000000001E-4</v>
      </c>
      <c r="G6" s="72" t="s">
        <v>25</v>
      </c>
      <c r="H6" s="101">
        <v>1.8100000000000001E-4</v>
      </c>
      <c r="I6" s="58"/>
      <c r="J6" s="60" t="s">
        <v>69</v>
      </c>
      <c r="K6" s="172">
        <f t="shared" si="1"/>
        <v>5.8980685536624252E-3</v>
      </c>
      <c r="L6" s="72" t="s">
        <v>23</v>
      </c>
      <c r="M6" s="173">
        <f t="shared" si="2"/>
        <v>0.41944496736260012</v>
      </c>
      <c r="N6" s="59" t="s">
        <v>18</v>
      </c>
    </row>
    <row r="7" spans="1:15" ht="15.75">
      <c r="A7" s="109" t="s">
        <v>124</v>
      </c>
      <c r="B7" s="111">
        <v>1</v>
      </c>
      <c r="C7" s="59" t="s">
        <v>19</v>
      </c>
      <c r="D7" s="58"/>
      <c r="E7" s="71" t="s">
        <v>27</v>
      </c>
      <c r="F7" s="75">
        <f t="shared" si="0"/>
        <v>1.1999999999999999E-3</v>
      </c>
      <c r="G7" s="72" t="s">
        <v>26</v>
      </c>
      <c r="H7" s="101">
        <v>1.1999999999999999E-3</v>
      </c>
      <c r="I7" s="58"/>
      <c r="J7" s="62" t="s">
        <v>9</v>
      </c>
      <c r="K7" s="172">
        <f t="shared" si="1"/>
        <v>1.1670612891270469E-2</v>
      </c>
      <c r="L7" s="72" t="s">
        <v>23</v>
      </c>
      <c r="M7" s="173">
        <f t="shared" si="2"/>
        <v>0.12152794185577316</v>
      </c>
      <c r="N7" s="59" t="s">
        <v>18</v>
      </c>
    </row>
    <row r="8" spans="1:15" ht="15.75">
      <c r="A8" s="109" t="s">
        <v>131</v>
      </c>
      <c r="B8" s="75">
        <v>7</v>
      </c>
      <c r="C8" s="59" t="s">
        <v>46</v>
      </c>
      <c r="D8" s="58"/>
      <c r="E8" s="71" t="s">
        <v>140</v>
      </c>
      <c r="F8" s="75">
        <f t="shared" si="0"/>
        <v>725</v>
      </c>
      <c r="G8" s="59" t="s">
        <v>1</v>
      </c>
      <c r="H8" s="101">
        <f>B4-B10</f>
        <v>725</v>
      </c>
      <c r="I8" s="58"/>
      <c r="J8" s="63" t="s">
        <v>7</v>
      </c>
      <c r="K8" s="172">
        <f t="shared" si="1"/>
        <v>0.11350492945785985</v>
      </c>
      <c r="L8" s="72" t="s">
        <v>23</v>
      </c>
      <c r="M8" s="173">
        <f t="shared" si="2"/>
        <v>4.1197211702010468E-2</v>
      </c>
      <c r="N8" s="59" t="s">
        <v>18</v>
      </c>
    </row>
    <row r="9" spans="1:15" ht="15.75">
      <c r="A9" s="109" t="s">
        <v>136</v>
      </c>
      <c r="B9" s="75">
        <v>3000</v>
      </c>
      <c r="C9" s="59" t="s">
        <v>18</v>
      </c>
      <c r="D9" s="58"/>
      <c r="E9" s="71" t="s">
        <v>42</v>
      </c>
      <c r="F9" s="75">
        <f t="shared" si="0"/>
        <v>0.83</v>
      </c>
      <c r="G9" s="59" t="s">
        <v>43</v>
      </c>
      <c r="H9" s="101">
        <v>0.83</v>
      </c>
      <c r="I9" s="58"/>
      <c r="J9" s="62" t="s">
        <v>8</v>
      </c>
      <c r="K9" s="172">
        <f t="shared" si="1"/>
        <v>8.6630032913542973E-2</v>
      </c>
      <c r="L9" s="72" t="s">
        <v>23</v>
      </c>
      <c r="M9" s="173">
        <f t="shared" si="2"/>
        <v>5.8007243356284613E-2</v>
      </c>
      <c r="N9" s="59" t="s">
        <v>18</v>
      </c>
    </row>
    <row r="10" spans="1:15" ht="15.75">
      <c r="A10" s="99" t="s">
        <v>121</v>
      </c>
      <c r="B10" s="75">
        <v>500</v>
      </c>
      <c r="C10" s="59" t="s">
        <v>1</v>
      </c>
      <c r="D10" s="58"/>
      <c r="E10" s="71" t="s">
        <v>44</v>
      </c>
      <c r="F10" s="75">
        <f t="shared" si="0"/>
        <v>3</v>
      </c>
      <c r="G10" s="59" t="s">
        <v>45</v>
      </c>
      <c r="H10" s="101">
        <v>3</v>
      </c>
      <c r="I10" s="58"/>
      <c r="J10" s="62" t="s">
        <v>11</v>
      </c>
      <c r="K10" s="172">
        <f t="shared" si="1"/>
        <v>0</v>
      </c>
      <c r="L10" s="72" t="s">
        <v>23</v>
      </c>
      <c r="M10" s="173">
        <f t="shared" si="2"/>
        <v>0</v>
      </c>
      <c r="N10" s="59" t="s">
        <v>18</v>
      </c>
    </row>
    <row r="11" spans="1:15" ht="15.75">
      <c r="A11" s="109" t="s">
        <v>137</v>
      </c>
      <c r="B11" s="75">
        <v>3.51</v>
      </c>
      <c r="C11" s="59" t="s">
        <v>19</v>
      </c>
      <c r="D11" s="58"/>
      <c r="E11" s="71" t="s">
        <v>85</v>
      </c>
      <c r="F11" s="75">
        <f t="shared" si="0"/>
        <v>0.33</v>
      </c>
      <c r="G11" s="59" t="s">
        <v>43</v>
      </c>
      <c r="H11" s="101">
        <v>0.33</v>
      </c>
      <c r="I11" s="58"/>
      <c r="J11" s="63" t="s">
        <v>70</v>
      </c>
      <c r="K11" s="172">
        <f t="shared" si="1"/>
        <v>0</v>
      </c>
      <c r="L11" s="72" t="s">
        <v>23</v>
      </c>
      <c r="M11" s="173">
        <f t="shared" si="2"/>
        <v>0</v>
      </c>
      <c r="N11" s="59" t="s">
        <v>18</v>
      </c>
    </row>
    <row r="12" spans="1:15" ht="15.75">
      <c r="A12" s="99" t="s">
        <v>141</v>
      </c>
      <c r="B12" s="75">
        <v>1.6000000000000001E-3</v>
      </c>
      <c r="C12" s="59" t="s">
        <v>19</v>
      </c>
      <c r="D12" s="58"/>
      <c r="E12" s="56" t="s">
        <v>90</v>
      </c>
      <c r="F12" s="97">
        <v>8.4999999999999999E-6</v>
      </c>
      <c r="G12" s="59" t="s">
        <v>89</v>
      </c>
      <c r="H12" s="103">
        <v>8.4999999999999999E-6</v>
      </c>
      <c r="I12" s="58"/>
      <c r="J12" s="63" t="s">
        <v>16</v>
      </c>
      <c r="K12" s="172">
        <f t="shared" si="1"/>
        <v>0</v>
      </c>
      <c r="L12" s="72" t="s">
        <v>23</v>
      </c>
      <c r="M12" s="173">
        <f t="shared" si="2"/>
        <v>0</v>
      </c>
      <c r="N12" s="59" t="s">
        <v>18</v>
      </c>
    </row>
    <row r="13" spans="1:15" ht="15.75">
      <c r="A13" s="99" t="s">
        <v>135</v>
      </c>
      <c r="B13" s="75">
        <v>1500</v>
      </c>
      <c r="C13" s="59" t="s">
        <v>18</v>
      </c>
      <c r="D13" s="58"/>
      <c r="E13" s="71" t="s">
        <v>148</v>
      </c>
      <c r="F13" s="75">
        <f>H13</f>
        <v>0.67</v>
      </c>
      <c r="G13" s="120" t="s">
        <v>149</v>
      </c>
      <c r="H13" s="103">
        <v>0.67</v>
      </c>
      <c r="I13" s="58"/>
      <c r="J13" s="60" t="s">
        <v>71</v>
      </c>
      <c r="K13" s="172">
        <f t="shared" si="1"/>
        <v>0</v>
      </c>
      <c r="L13" s="72" t="s">
        <v>23</v>
      </c>
      <c r="M13" s="173">
        <f t="shared" si="2"/>
        <v>0</v>
      </c>
      <c r="N13" s="59" t="s">
        <v>18</v>
      </c>
    </row>
    <row r="14" spans="1:15" ht="15.75">
      <c r="A14" s="99" t="s">
        <v>147</v>
      </c>
      <c r="B14" s="75">
        <v>150</v>
      </c>
      <c r="C14" s="59" t="s">
        <v>18</v>
      </c>
      <c r="D14" s="58"/>
      <c r="G14" s="113"/>
      <c r="H14" s="113"/>
      <c r="I14" s="58"/>
      <c r="J14" s="62" t="s">
        <v>12</v>
      </c>
      <c r="K14" s="172">
        <f t="shared" si="1"/>
        <v>0</v>
      </c>
      <c r="L14" s="72" t="s">
        <v>23</v>
      </c>
      <c r="M14" s="173">
        <f t="shared" si="2"/>
        <v>0</v>
      </c>
      <c r="N14" s="59" t="s">
        <v>18</v>
      </c>
    </row>
    <row r="15" spans="1:15" ht="15.75">
      <c r="A15" s="71" t="s">
        <v>166</v>
      </c>
      <c r="B15" s="75">
        <v>15000</v>
      </c>
      <c r="C15" s="59" t="s">
        <v>18</v>
      </c>
      <c r="D15" s="58"/>
      <c r="G15" s="113"/>
      <c r="H15" s="114"/>
      <c r="I15" s="58"/>
      <c r="J15" s="62" t="s">
        <v>10</v>
      </c>
      <c r="K15" s="172">
        <f t="shared" si="1"/>
        <v>0</v>
      </c>
      <c r="L15" s="72" t="s">
        <v>23</v>
      </c>
      <c r="M15" s="173">
        <f t="shared" si="2"/>
        <v>0</v>
      </c>
      <c r="N15" s="59" t="s">
        <v>18</v>
      </c>
    </row>
    <row r="16" spans="1:15" ht="15.75">
      <c r="A16" s="71" t="s">
        <v>169</v>
      </c>
      <c r="B16" s="75">
        <v>9</v>
      </c>
      <c r="C16" s="72" t="s">
        <v>168</v>
      </c>
      <c r="D16" s="58"/>
      <c r="G16" s="115"/>
      <c r="H16" s="116"/>
      <c r="I16" s="58"/>
      <c r="J16" s="63" t="s">
        <v>72</v>
      </c>
      <c r="K16" s="172">
        <f t="shared" si="1"/>
        <v>0</v>
      </c>
      <c r="L16" s="72" t="s">
        <v>23</v>
      </c>
      <c r="M16" s="173">
        <f t="shared" si="2"/>
        <v>0</v>
      </c>
      <c r="N16" s="59" t="s">
        <v>18</v>
      </c>
    </row>
    <row r="17" spans="1:14" ht="14.25">
      <c r="D17" s="58"/>
      <c r="I17" s="58"/>
      <c r="J17" s="63" t="s">
        <v>73</v>
      </c>
      <c r="K17" s="172">
        <f t="shared" si="1"/>
        <v>0</v>
      </c>
      <c r="L17" s="72" t="s">
        <v>23</v>
      </c>
      <c r="M17" s="173">
        <f t="shared" si="2"/>
        <v>0</v>
      </c>
      <c r="N17" s="59" t="s">
        <v>18</v>
      </c>
    </row>
    <row r="18" spans="1:14" ht="14.25">
      <c r="D18" s="58"/>
      <c r="I18" s="58"/>
      <c r="J18" s="64" t="s">
        <v>74</v>
      </c>
      <c r="K18" s="172">
        <f t="shared" si="1"/>
        <v>0</v>
      </c>
      <c r="L18" s="72" t="s">
        <v>23</v>
      </c>
      <c r="M18" s="173">
        <f t="shared" si="2"/>
        <v>0</v>
      </c>
      <c r="N18" s="59" t="s">
        <v>18</v>
      </c>
    </row>
    <row r="19" spans="1:14" ht="15">
      <c r="A19" s="298" t="s">
        <v>102</v>
      </c>
      <c r="B19" s="308"/>
      <c r="C19" s="308"/>
      <c r="D19" s="58"/>
      <c r="E19" s="110"/>
      <c r="I19" s="58"/>
      <c r="J19" s="63" t="s">
        <v>75</v>
      </c>
      <c r="K19" s="172">
        <f t="shared" si="1"/>
        <v>0</v>
      </c>
      <c r="L19" s="72" t="s">
        <v>23</v>
      </c>
      <c r="M19" s="173">
        <f t="shared" si="2"/>
        <v>0</v>
      </c>
      <c r="N19" s="59" t="s">
        <v>18</v>
      </c>
    </row>
    <row r="20" spans="1:14" ht="14.25">
      <c r="A20" s="60" t="s">
        <v>17</v>
      </c>
      <c r="B20" s="76">
        <v>1</v>
      </c>
      <c r="C20" s="59" t="s">
        <v>18</v>
      </c>
      <c r="D20" s="58"/>
      <c r="I20" s="58"/>
      <c r="J20" s="64" t="s">
        <v>78</v>
      </c>
      <c r="K20" s="172">
        <f t="shared" si="1"/>
        <v>0</v>
      </c>
      <c r="L20" s="72" t="s">
        <v>23</v>
      </c>
      <c r="M20" s="173">
        <f t="shared" si="2"/>
        <v>0</v>
      </c>
      <c r="N20" s="59" t="s">
        <v>18</v>
      </c>
    </row>
    <row r="21" spans="1:14" ht="14.25">
      <c r="A21" s="62" t="s">
        <v>6</v>
      </c>
      <c r="B21" s="76">
        <v>1</v>
      </c>
      <c r="C21" s="59" t="s">
        <v>18</v>
      </c>
      <c r="D21" s="58"/>
      <c r="I21" s="58"/>
      <c r="J21" s="65" t="s">
        <v>14</v>
      </c>
      <c r="K21" s="172">
        <f t="shared" si="1"/>
        <v>0</v>
      </c>
      <c r="L21" s="72" t="s">
        <v>23</v>
      </c>
      <c r="M21" s="173">
        <f t="shared" si="2"/>
        <v>0</v>
      </c>
      <c r="N21" s="59" t="s">
        <v>18</v>
      </c>
    </row>
    <row r="22" spans="1:14" ht="14.25">
      <c r="A22" s="62" t="s">
        <v>13</v>
      </c>
      <c r="B22" s="76">
        <v>1</v>
      </c>
      <c r="C22" s="59" t="s">
        <v>18</v>
      </c>
      <c r="D22" s="58"/>
      <c r="I22" s="58"/>
      <c r="J22" s="65" t="s">
        <v>79</v>
      </c>
      <c r="K22" s="172">
        <f t="shared" si="1"/>
        <v>0</v>
      </c>
      <c r="L22" s="72" t="s">
        <v>23</v>
      </c>
      <c r="M22" s="173">
        <f t="shared" si="2"/>
        <v>0</v>
      </c>
      <c r="N22" s="59" t="s">
        <v>18</v>
      </c>
    </row>
    <row r="23" spans="1:14" ht="14.25">
      <c r="A23" s="60" t="s">
        <v>69</v>
      </c>
      <c r="B23" s="76">
        <v>1</v>
      </c>
      <c r="C23" s="59" t="s">
        <v>18</v>
      </c>
      <c r="D23" s="58"/>
      <c r="I23" s="58"/>
      <c r="J23" s="65" t="s">
        <v>15</v>
      </c>
      <c r="K23" s="172">
        <f t="shared" si="1"/>
        <v>0</v>
      </c>
      <c r="L23" s="72" t="s">
        <v>23</v>
      </c>
      <c r="M23" s="173">
        <f t="shared" si="2"/>
        <v>0</v>
      </c>
      <c r="N23" s="59" t="s">
        <v>18</v>
      </c>
    </row>
    <row r="24" spans="1:14" ht="14.25">
      <c r="A24" s="62" t="s">
        <v>9</v>
      </c>
      <c r="B24" s="76">
        <v>1</v>
      </c>
      <c r="C24" s="59" t="s">
        <v>18</v>
      </c>
      <c r="D24" s="58"/>
      <c r="I24" s="58"/>
      <c r="J24" s="65" t="s">
        <v>80</v>
      </c>
      <c r="K24" s="172">
        <f t="shared" si="1"/>
        <v>0</v>
      </c>
      <c r="L24" s="72" t="s">
        <v>23</v>
      </c>
      <c r="M24" s="173">
        <f t="shared" si="2"/>
        <v>0</v>
      </c>
      <c r="N24" s="59" t="s">
        <v>18</v>
      </c>
    </row>
    <row r="25" spans="1:14" ht="14.25">
      <c r="A25" s="63" t="s">
        <v>7</v>
      </c>
      <c r="B25" s="76">
        <v>1</v>
      </c>
      <c r="C25" s="59" t="s">
        <v>18</v>
      </c>
      <c r="D25" s="58"/>
      <c r="I25" s="58"/>
      <c r="J25" s="65" t="s">
        <v>59</v>
      </c>
      <c r="K25" s="172" t="e">
        <f>IF(ABS((W69*$B$4+$N$78*V69)*M25)&gt;N111,N111,(W69*$B$4+$N$78*V69)*M25)</f>
        <v>#DIV/0!</v>
      </c>
      <c r="L25" s="72" t="s">
        <v>23</v>
      </c>
      <c r="M25" s="173" t="e">
        <f>(-Y69+((Y69^(2)-4*X69*Z69)^(0.5)))/(2*X69)</f>
        <v>#DIV/0!</v>
      </c>
      <c r="N25" s="59" t="s">
        <v>18</v>
      </c>
    </row>
    <row r="26" spans="1:14" ht="14.25">
      <c r="A26" s="62" t="s">
        <v>8</v>
      </c>
      <c r="B26" s="76">
        <v>1</v>
      </c>
      <c r="C26" s="59" t="s">
        <v>18</v>
      </c>
      <c r="D26" s="58"/>
      <c r="I26" s="58"/>
      <c r="J26" s="81" t="s">
        <v>60</v>
      </c>
      <c r="K26" s="172" t="e">
        <f>IF(ABS((W70*$B$4+$N$78*V70)*M26)&gt;N112,N112,(W70*$B$4+$N$78*V70)*M26)</f>
        <v>#DIV/0!</v>
      </c>
      <c r="L26" s="72" t="s">
        <v>23</v>
      </c>
      <c r="M26" s="173" t="e">
        <f>(-Y70+((Y70^(2)-4*X70*Z70)^(0.5)))/(2*X70)</f>
        <v>#DIV/0!</v>
      </c>
      <c r="N26" s="59" t="s">
        <v>18</v>
      </c>
    </row>
    <row r="27" spans="1:14" ht="14.25">
      <c r="A27" s="62" t="s">
        <v>11</v>
      </c>
      <c r="B27" s="76">
        <v>0</v>
      </c>
      <c r="C27" s="59" t="s">
        <v>18</v>
      </c>
      <c r="D27" s="58"/>
      <c r="I27" s="58"/>
      <c r="J27" s="65" t="s">
        <v>61</v>
      </c>
      <c r="K27" s="172" t="e">
        <f>IF(ABS((W71*$B$4+$N$78*V71)*M27)&gt;N113,N113,(W71*$B$4+$N$78*V71)*M27)</f>
        <v>#DIV/0!</v>
      </c>
      <c r="L27" s="72" t="s">
        <v>23</v>
      </c>
      <c r="M27" s="173" t="e">
        <f>(-Y71+((Y71^(2)-4*X71*Z71)^(0.5)))/(2*X71)</f>
        <v>#DIV/0!</v>
      </c>
      <c r="N27" s="59" t="s">
        <v>18</v>
      </c>
    </row>
    <row r="28" spans="1:14" ht="14.25">
      <c r="A28" s="63" t="s">
        <v>70</v>
      </c>
      <c r="B28" s="76">
        <v>0</v>
      </c>
      <c r="C28" s="59" t="s">
        <v>18</v>
      </c>
      <c r="D28" s="58"/>
      <c r="I28" s="58"/>
      <c r="J28" s="65" t="s">
        <v>256</v>
      </c>
      <c r="K28" s="172">
        <f>IF(ABS((W72*$B$4+$N$78*V72)*M28)&gt;N114,N114,(W72*$B$4+$N$78*V72)*M28)</f>
        <v>0</v>
      </c>
      <c r="L28" s="72" t="s">
        <v>23</v>
      </c>
      <c r="M28" s="173">
        <f>(-Y72+((Y72^(2)-4*X72*Z72)^(0.5)))/(2*X72)</f>
        <v>0</v>
      </c>
      <c r="N28" s="59" t="s">
        <v>18</v>
      </c>
    </row>
    <row r="29" spans="1:14" ht="14.25">
      <c r="A29" s="63" t="s">
        <v>16</v>
      </c>
      <c r="B29" s="76">
        <v>0</v>
      </c>
      <c r="C29" s="59" t="s">
        <v>18</v>
      </c>
      <c r="D29" s="58"/>
      <c r="I29" s="88"/>
    </row>
    <row r="30" spans="1:14" ht="14.25">
      <c r="A30" s="60" t="s">
        <v>71</v>
      </c>
      <c r="B30" s="76">
        <v>0</v>
      </c>
      <c r="C30" s="59" t="s">
        <v>18</v>
      </c>
      <c r="D30" s="58"/>
      <c r="I30" s="88"/>
      <c r="J30" s="212"/>
      <c r="K30" s="258"/>
      <c r="L30" s="89"/>
      <c r="M30" s="258"/>
      <c r="N30" s="185"/>
    </row>
    <row r="31" spans="1:14" ht="14.25">
      <c r="A31" s="62" t="s">
        <v>12</v>
      </c>
      <c r="B31" s="76">
        <v>0</v>
      </c>
      <c r="C31" s="59" t="s">
        <v>18</v>
      </c>
      <c r="D31" s="58"/>
      <c r="I31" s="55"/>
      <c r="J31" s="55"/>
      <c r="K31" s="55"/>
      <c r="L31" s="80"/>
      <c r="M31" s="55"/>
      <c r="N31" s="79"/>
    </row>
    <row r="32" spans="1:14" ht="14.25">
      <c r="A32" s="62" t="s">
        <v>10</v>
      </c>
      <c r="B32" s="76">
        <v>0</v>
      </c>
      <c r="C32" s="59" t="s">
        <v>18</v>
      </c>
      <c r="D32" s="58"/>
      <c r="J32" s="55"/>
      <c r="K32" s="55"/>
      <c r="L32" s="80"/>
      <c r="M32" s="55"/>
      <c r="N32" s="79"/>
    </row>
    <row r="33" spans="1:28" ht="14.25">
      <c r="A33" s="63" t="s">
        <v>72</v>
      </c>
      <c r="B33" s="76">
        <v>0</v>
      </c>
      <c r="C33" s="59" t="s">
        <v>18</v>
      </c>
      <c r="D33" s="58"/>
      <c r="J33" s="55"/>
      <c r="K33" s="55"/>
      <c r="L33" s="80"/>
      <c r="M33" s="55"/>
      <c r="N33" s="79"/>
    </row>
    <row r="34" spans="1:28" ht="14.25">
      <c r="A34" s="63" t="s">
        <v>73</v>
      </c>
      <c r="B34" s="76">
        <v>0</v>
      </c>
      <c r="C34" s="59" t="s">
        <v>18</v>
      </c>
      <c r="D34" s="58"/>
      <c r="J34" s="55"/>
      <c r="K34" s="55"/>
      <c r="L34" s="80"/>
      <c r="M34" s="55"/>
      <c r="N34" s="79"/>
    </row>
    <row r="35" spans="1:28" ht="14.25">
      <c r="A35" s="64" t="s">
        <v>74</v>
      </c>
      <c r="B35" s="76">
        <v>0</v>
      </c>
      <c r="C35" s="59" t="s">
        <v>18</v>
      </c>
      <c r="D35" s="58"/>
      <c r="J35" s="55"/>
      <c r="K35" s="55"/>
      <c r="L35" s="80"/>
      <c r="M35" s="55"/>
      <c r="N35" s="79"/>
    </row>
    <row r="36" spans="1:28" ht="14.25">
      <c r="A36" s="63" t="s">
        <v>75</v>
      </c>
      <c r="B36" s="76">
        <v>0</v>
      </c>
      <c r="C36" s="59" t="s">
        <v>18</v>
      </c>
      <c r="D36" s="58"/>
      <c r="J36" s="55"/>
      <c r="K36" s="55"/>
      <c r="L36" s="80"/>
      <c r="M36" s="55"/>
      <c r="N36" s="79"/>
    </row>
    <row r="37" spans="1:28" ht="14.25">
      <c r="A37" s="64" t="s">
        <v>78</v>
      </c>
      <c r="B37" s="76">
        <v>0</v>
      </c>
      <c r="C37" s="59" t="s">
        <v>18</v>
      </c>
      <c r="D37" s="58"/>
      <c r="J37" s="55"/>
      <c r="K37" s="55"/>
      <c r="L37" s="80"/>
      <c r="M37" s="55"/>
      <c r="N37" s="79"/>
    </row>
    <row r="38" spans="1:28" ht="14.25">
      <c r="A38" s="65" t="s">
        <v>14</v>
      </c>
      <c r="B38" s="76">
        <v>0</v>
      </c>
      <c r="C38" s="59" t="s">
        <v>18</v>
      </c>
      <c r="D38" s="58"/>
      <c r="J38" s="55"/>
      <c r="K38" s="55"/>
      <c r="L38" s="80"/>
      <c r="M38" s="55"/>
      <c r="N38" s="79"/>
    </row>
    <row r="39" spans="1:28" ht="14.25">
      <c r="A39" s="65" t="s">
        <v>79</v>
      </c>
      <c r="B39" s="76">
        <v>0</v>
      </c>
      <c r="C39" s="59" t="s">
        <v>18</v>
      </c>
      <c r="D39" s="58"/>
    </row>
    <row r="40" spans="1:28" ht="14.25">
      <c r="A40" s="65" t="s">
        <v>15</v>
      </c>
      <c r="B40" s="76">
        <v>0</v>
      </c>
      <c r="C40" s="59" t="s">
        <v>18</v>
      </c>
      <c r="D40" s="58"/>
    </row>
    <row r="41" spans="1:28" ht="14.25">
      <c r="A41" s="65" t="s">
        <v>80</v>
      </c>
      <c r="B41" s="76">
        <v>0</v>
      </c>
      <c r="C41" s="59" t="s">
        <v>18</v>
      </c>
      <c r="D41" s="55"/>
    </row>
    <row r="42" spans="1:28" ht="14.25">
      <c r="A42" s="65" t="s">
        <v>59</v>
      </c>
      <c r="B42" s="76">
        <v>0</v>
      </c>
      <c r="C42" s="59" t="s">
        <v>18</v>
      </c>
      <c r="D42" s="55"/>
    </row>
    <row r="43" spans="1:28" ht="15.75">
      <c r="A43" s="81" t="s">
        <v>60</v>
      </c>
      <c r="B43" s="76">
        <v>0</v>
      </c>
      <c r="C43" s="59" t="s">
        <v>18</v>
      </c>
      <c r="D43" s="55"/>
      <c r="M43" s="56" t="s">
        <v>56</v>
      </c>
      <c r="N43" s="273">
        <f>IF(B3&lt;minWindSpd,minWindSpd,B3)</f>
        <v>4.47</v>
      </c>
      <c r="O43" s="59" t="s">
        <v>0</v>
      </c>
    </row>
    <row r="44" spans="1:28" ht="14.25">
      <c r="A44" s="65" t="s">
        <v>61</v>
      </c>
      <c r="B44" s="76">
        <v>0</v>
      </c>
      <c r="C44" s="59" t="s">
        <v>18</v>
      </c>
      <c r="M44" s="272" t="str">
        <f>IF(B3&lt;minWindSpd,CONCATENATE("Windspeed has been set at ",TEXT(minWindSpd,"0.##")," m/s, which is the minimum windspeed for the mass transfer calculations"),"")</f>
        <v/>
      </c>
    </row>
    <row r="45" spans="1:28" ht="14.25">
      <c r="A45" s="65" t="s">
        <v>256</v>
      </c>
      <c r="B45" s="76">
        <v>0</v>
      </c>
      <c r="C45" s="59" t="s">
        <v>18</v>
      </c>
      <c r="H45" s="55"/>
      <c r="I45" s="55"/>
      <c r="J45" s="55"/>
      <c r="K45" s="55"/>
    </row>
    <row r="46" spans="1:28" ht="14.25">
      <c r="H46" s="55"/>
      <c r="I46" s="310"/>
      <c r="J46" s="310"/>
      <c r="K46" s="310"/>
      <c r="M46" s="83" t="s">
        <v>21</v>
      </c>
      <c r="N46" s="118" t="s">
        <v>107</v>
      </c>
      <c r="O46" s="118" t="s">
        <v>103</v>
      </c>
      <c r="P46" s="118" t="s">
        <v>108</v>
      </c>
      <c r="Q46" s="118" t="s">
        <v>105</v>
      </c>
      <c r="R46" s="118" t="s">
        <v>104</v>
      </c>
      <c r="S46" s="118" t="s">
        <v>109</v>
      </c>
      <c r="T46" s="118" t="s">
        <v>110</v>
      </c>
      <c r="U46" s="118" t="s">
        <v>111</v>
      </c>
      <c r="V46" s="118" t="s">
        <v>35</v>
      </c>
      <c r="W46" s="118" t="s">
        <v>112</v>
      </c>
      <c r="X46" s="95" t="s">
        <v>82</v>
      </c>
      <c r="Y46" s="95" t="s">
        <v>83</v>
      </c>
      <c r="Z46" s="95" t="s">
        <v>84</v>
      </c>
      <c r="AA46" s="118" t="s">
        <v>120</v>
      </c>
      <c r="AB46" s="135" t="s">
        <v>167</v>
      </c>
    </row>
    <row r="47" spans="1:28">
      <c r="A47" s="212"/>
      <c r="B47" s="215"/>
      <c r="C47" s="185"/>
      <c r="H47" s="55"/>
      <c r="I47" s="55"/>
      <c r="J47" s="55"/>
      <c r="K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Properties'!F4)/$F$12)^(2/3),IF($N$80&lt;14,IF($N$82&lt;0.3,0.000001+0.0144*$N$82^2.2*N47^(-0.5),0.000001+0.00341*$N$82*N47^(-0.5)),IF($N$80&lt;=51.2,(0.000000002605*$N$80+0.0000001277)*$N$43^2*(IF(ABS('Chemical Properties'!F41)&gt;0,'Chemical Properties'!F41,'Chemical Properties'!F4)/$F$12)^(2/3),0.000000261*$N$43^2*(IF(ABS('Chemical Properties'!F41)&gt;0,'Chemical Properties'!F41,'Chemical Properties'!F4)/$F$12)^(2/3))))</f>
        <v>8.3489900838336326E-6</v>
      </c>
      <c r="Q47" s="71">
        <f>($N$83*((IF(ABS('Chemical Properties'!F41)&gt;0,'Chemical Properties'!F41,'Chemical Properties'!F4))/0.0000693)^(0.5))/$N$84</f>
        <v>7.7410666424548581E-5</v>
      </c>
      <c r="R47" s="105">
        <f t="shared" ref="R47:R72" si="3">4.82*10^(-3)*$N$43^(0.78)*O47^(-0.67)*(2*($B$4/3.14)^0.5)^(-0.11)</f>
        <v>1.0304933316215292E-2</v>
      </c>
      <c r="S47" s="72">
        <f>3*Q47</f>
        <v>2.3223199927364574E-4</v>
      </c>
      <c r="T47" s="105">
        <f>(Q47*V47*S47)/(V47*S47+Q47)</f>
        <v>4.3143301297194709E-8</v>
      </c>
      <c r="U47" s="105">
        <f>(P47*V47*R47)/(V47*R47+P47)</f>
        <v>1.5580300827710854E-6</v>
      </c>
      <c r="V47" s="105">
        <f>IF(ABS('Chemical Properties'!E41)&gt;0,'Chemical Properties'!E41,'Chemical Properties'!E4)/($F$5*($B$5+273.15))</f>
        <v>1.8588032616073582E-4</v>
      </c>
      <c r="W47" s="105">
        <f>(T47*$B$10+U47*$F$8)/$B$4</f>
        <v>9.3970894747561983E-7</v>
      </c>
      <c r="X47" s="105">
        <f t="shared" ref="X47:X68" si="4">(W47*$B$4+$N$78*V47+$B$12*AA47*$B$15+($B$7-$B$12))/$B$7</f>
        <v>1.0004041034187527</v>
      </c>
      <c r="Y47" s="105">
        <f>((IF(ABS('Chemical Properties'!J41)&gt;0,'Chemical Properties'!J41,'Chemical Properties'!J4)/$B$7)*(W47*$B$4+$N$78*V47+$B$12*AA47*$B$15+($B$7-$B$12))+((IF(ABS('Chemical Properties'!I41)&gt;0,'Chemical Properties'!I41,'Chemical Properties'!I4)*$B$9*$B$4*$B$8)/$B$7)-B20)</f>
        <v>217.66136930768775</v>
      </c>
      <c r="Z47" s="105">
        <f>-IF(ABS('Chemical Properties'!J41)&gt;0,'Chemical Properties'!J41,'Chemical Properties'!J4)*B20</f>
        <v>-90</v>
      </c>
      <c r="AA47" s="105">
        <f>0.000001*$F$11*'Chemical Properties'!N4</f>
        <v>3.0797391926300696E-8</v>
      </c>
      <c r="AB47" s="88"/>
    </row>
    <row r="48" spans="1:28">
      <c r="H48" s="55"/>
      <c r="I48" s="55"/>
      <c r="J48" s="55"/>
      <c r="K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Properties'!F5)/$F$12)^(2/3),IF($N$80&lt;14,IF($N$82&lt;0.3,0.000001+0.0144*$N$82^2.2*N48^(-0.5),0.000001+0.00341*$N$82*N48^(-0.5)),IF($N$80&lt;=51.2,(0.000000002605*$N$80+0.0000001277)*$N$43^2*(IF(ABS('Chemical Properties'!F42)&gt;0,'Chemical Properties'!F42,'Chemical Properties'!F5)/$F$12)^(2/3),0.000000261*$N$43^2*(IF(ABS('Chemical Properties'!F42)&gt;0,'Chemical Properties'!F42,'Chemical Properties'!F5)/$F$12)^(2/3))))</f>
        <v>6.6809213304666372E-6</v>
      </c>
      <c r="Q48" s="71">
        <f>($N$83*((IF(ABS('Chemical Properties'!F42)&gt;0,'Chemical Properties'!F42,'Chemical Properties'!F5))/0.0000693)^(0.5))/$N$84</f>
        <v>5.9840046194136484E-5</v>
      </c>
      <c r="R48" s="105">
        <f t="shared" si="3"/>
        <v>7.208873962855686E-3</v>
      </c>
      <c r="S48" s="72">
        <f t="shared" ref="S48:S68" si="5">3*Q48</f>
        <v>1.7952013858240945E-4</v>
      </c>
      <c r="T48" s="105">
        <f t="shared" ref="T48:T68" si="6">(Q48*V48*S48)/(V48*S48+Q48)</f>
        <v>2.4301116594989943E-5</v>
      </c>
      <c r="U48" s="105">
        <f t="shared" ref="U48:U68" si="7">(P48*V48*R48)/(V48*R48+P48)</f>
        <v>6.6538666513704814E-6</v>
      </c>
      <c r="V48" s="105">
        <f>IF(ABS('Chemical Properties'!E42)&gt;0,'Chemical Properties'!E42,'Chemical Properties'!E5)/($F$5*($B$5+273.15))</f>
        <v>0.22792954908029947</v>
      </c>
      <c r="W48" s="105">
        <f t="shared" ref="W48:W68" si="8">(T48*$B$10+U48*$F$8)/$B$4</f>
        <v>1.3856825812031485E-5</v>
      </c>
      <c r="X48" s="105">
        <f t="shared" si="4"/>
        <v>2.0608933214805152</v>
      </c>
      <c r="Y48" s="105">
        <f>((IF(ABS('Chemical Properties'!J42)&gt;0,'Chemical Properties'!J42,'Chemical Properties'!J5)/$B$7)*(W48*$B$4+$N$78*V48+$B$12*AA48*$B$15+($B$7-$B$12))+((IF(ABS('Chemical Properties'!I42)&gt;0,'Chemical Properties'!I42,'Chemical Properties'!I5)*$B$9*$B$4*$B$8)/$B$7)-B21)</f>
        <v>162.74009983914033</v>
      </c>
      <c r="Z48" s="105">
        <f>-IF(ABS('Chemical Properties'!J42)&gt;0,'Chemical Properties'!J42,'Chemical Properties'!J5)*B21</f>
        <v>-13.571428571428573</v>
      </c>
      <c r="AA48" s="105">
        <f>0.000001*$F$11*'Chemical Properties'!N5</f>
        <v>2.1306589558143626E-5</v>
      </c>
      <c r="AB48" s="88"/>
    </row>
    <row r="49" spans="8:28">
      <c r="H49" s="55"/>
      <c r="I49" s="55"/>
      <c r="J49" s="55"/>
      <c r="K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Properties'!F6)/$F$12)^(2/3),IF($N$80&lt;14,IF($N$82&lt;0.3,0.000001+0.0144*$N$82^2.2*N49^(-0.5),0.000001+0.00341*$N$82*N49^(-0.5)),IF($N$80&lt;=51.2,(0.000000002605*$N$80+0.0000001277)*$N$43^2*(IF(ABS('Chemical Properties'!F43)&gt;0,'Chemical Properties'!F43,'Chemical Properties'!F6)/$F$12)^(2/3),0.000000261*$N$43^2*(IF(ABS('Chemical Properties'!F43)&gt;0,'Chemical Properties'!F43,'Chemical Properties'!F6)/$F$12)^(2/3))))</f>
        <v>6.7385971373718054E-6</v>
      </c>
      <c r="Q49" s="71">
        <f>($N$83*((IF(ABS('Chemical Properties'!F43)&gt;0,'Chemical Properties'!F43,'Chemical Properties'!F6))/0.0000693)^(0.5))/$N$84</f>
        <v>6.044757492912882E-5</v>
      </c>
      <c r="R49" s="105">
        <f t="shared" si="3"/>
        <v>8.0626234907690639E-3</v>
      </c>
      <c r="S49" s="72">
        <f t="shared" si="5"/>
        <v>1.8134272478738647E-4</v>
      </c>
      <c r="T49" s="105">
        <f t="shared" si="6"/>
        <v>4.7597769533292711E-5</v>
      </c>
      <c r="U49" s="105">
        <f t="shared" si="7"/>
        <v>6.7340388685302903E-6</v>
      </c>
      <c r="V49" s="105">
        <f>IF(ABS('Chemical Properties'!E43)&gt;0,'Chemical Properties'!E43,'Chemical Properties'!E6)/($F$5*($B$5+273.15))</f>
        <v>1.234720891796967</v>
      </c>
      <c r="W49" s="105">
        <f t="shared" si="8"/>
        <v>2.3413112609249644E-5</v>
      </c>
      <c r="X49" s="105">
        <f t="shared" si="4"/>
        <v>6.6883865709312991</v>
      </c>
      <c r="Y49" s="105">
        <f>((IF(ABS('Chemical Properties'!J43)&gt;0,'Chemical Properties'!J43,'Chemical Properties'!J6)/$B$7)*(W49*$B$4+$N$78*V49+$B$12*AA49*$B$15+($B$7-$B$12))+((IF(ABS('Chemical Properties'!I43)&gt;0,'Chemical Properties'!I43,'Chemical Properties'!I6)*$B$9*$B$4*$B$8)/$B$7)-B22)</f>
        <v>222.84922788100414</v>
      </c>
      <c r="Z49" s="105">
        <f>-IF(ABS('Chemical Properties'!J43)&gt;0,'Chemical Properties'!J43,'Chemical Properties'!J6)*B22</f>
        <v>-17.121913733084138</v>
      </c>
      <c r="AA49" s="105">
        <f>0.000001*$F$11*'Chemical Properties'!N6</f>
        <v>1.5794793046647074E-5</v>
      </c>
      <c r="AB49" s="88"/>
    </row>
    <row r="50" spans="8:28">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Properties'!F7)/$F$12)^(2/3),IF($N$80&lt;14,IF($N$82&lt;0.3,0.000001+0.0144*$N$82^2.2*N50^(-0.5),0.000001+0.00341*$N$82*N50^(-0.5)),IF($N$80&lt;=51.2,(0.000000002605*$N$80+0.0000001277)*$N$43^2*(IF(ABS('Chemical Properties'!F44)&gt;0,'Chemical Properties'!F44,'Chemical Properties'!F7)/$F$12)^(2/3),0.000000261*$N$43^2*(IF(ABS('Chemical Properties'!F44)&gt;0,'Chemical Properties'!F44,'Chemical Properties'!F7)/$F$12)^(2/3))))</f>
        <v>6.6809213304666372E-6</v>
      </c>
      <c r="Q50" s="71">
        <f>($N$83*((IF(ABS('Chemical Properties'!F44)&gt;0,'Chemical Properties'!F44,'Chemical Properties'!F7))/0.0000693)^(0.5))/$N$84</f>
        <v>5.9840046194136484E-5</v>
      </c>
      <c r="R50" s="105">
        <f t="shared" si="3"/>
        <v>6.8081584369146389E-3</v>
      </c>
      <c r="S50" s="72">
        <f t="shared" si="5"/>
        <v>1.7952013858240945E-4</v>
      </c>
      <c r="T50" s="105">
        <f t="shared" si="6"/>
        <v>4.0717565017657923E-7</v>
      </c>
      <c r="U50" s="105">
        <f t="shared" si="7"/>
        <v>4.6729290012907968E-6</v>
      </c>
      <c r="V50" s="105">
        <f>IF(ABS('Chemical Properties'!E44)&gt;0,'Chemical Properties'!E44,'Chemical Properties'!E7)/($F$5*($B$5+273.15))</f>
        <v>2.2836725785461832E-3</v>
      </c>
      <c r="W50" s="105">
        <f t="shared" si="8"/>
        <v>2.9318051845094837E-6</v>
      </c>
      <c r="X50" s="105">
        <f t="shared" si="4"/>
        <v>1.0124688259881933</v>
      </c>
      <c r="Y50" s="105">
        <f>((IF(ABS('Chemical Properties'!J44)&gt;0,'Chemical Properties'!J44,'Chemical Properties'!J7)/$B$7)*(W50*$B$4+$N$78*V50+$B$12*AA50*$B$15+($B$7-$B$12))+((IF(ABS('Chemical Properties'!I44)&gt;0,'Chemical Properties'!I44,'Chemical Properties'!I7)*$B$9*$B$4*$B$8)/$B$7)-B23)</f>
        <v>23.4163549265486</v>
      </c>
      <c r="Z50" s="105">
        <f>-IF(ABS('Chemical Properties'!J44)&gt;0,'Chemical Properties'!J44,'Chemical Properties'!J7)*B23</f>
        <v>-10</v>
      </c>
      <c r="AA50" s="105">
        <f>0.000001*$F$11*'Chemical Properties'!N7</f>
        <v>3.0096357698745028E-7</v>
      </c>
      <c r="AB50" s="88"/>
    </row>
    <row r="51" spans="8:28">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Properties'!F8)/$F$12)^(2/3),IF($N$80&lt;14,IF($N$82&lt;0.3,0.000001+0.0144*$N$82^2.2*N51^(-0.5),0.000001+0.00341*$N$82*N51^(-0.5)),IF($N$80&lt;=51.2,(0.000000002605*$N$80+0.0000001277)*$N$43^2*(IF(ABS('Chemical Properties'!F45)&gt;0,'Chemical Properties'!F45,'Chemical Properties'!F8)/$F$12)^(2/3),0.000000261*$N$43^2*(IF(ABS('Chemical Properties'!F45)&gt;0,'Chemical Properties'!F45,'Chemical Properties'!F8)/$F$12)^(2/3))))</f>
        <v>5.9697709030486409E-6</v>
      </c>
      <c r="Q51" s="71">
        <f>($N$83*((IF(ABS('Chemical Properties'!F45)&gt;0,'Chemical Properties'!F45,'Chemical Properties'!F8))/0.0000693)^(0.5))/$N$84</f>
        <v>5.2349135485788892E-5</v>
      </c>
      <c r="R51" s="105">
        <f t="shared" si="3"/>
        <v>5.5148650549823814E-3</v>
      </c>
      <c r="S51" s="72">
        <f t="shared" si="5"/>
        <v>1.5704740645736668E-4</v>
      </c>
      <c r="T51" s="105">
        <f t="shared" si="6"/>
        <v>2.9256589990405071E-6</v>
      </c>
      <c r="U51" s="105">
        <f t="shared" si="7"/>
        <v>5.6593030994180536E-6</v>
      </c>
      <c r="V51" s="105">
        <f>IF(ABS('Chemical Properties'!E45)&gt;0,'Chemical Properties'!E45,'Chemical Properties'!E8)/($F$5*($B$5+273.15))</f>
        <v>1.9731911546293494E-2</v>
      </c>
      <c r="W51" s="105">
        <f t="shared" si="8"/>
        <v>4.5435299972231373E-6</v>
      </c>
      <c r="X51" s="105">
        <f t="shared" si="4"/>
        <v>1.103116449448573</v>
      </c>
      <c r="Y51" s="105">
        <f>((IF(ABS('Chemical Properties'!J45)&gt;0,'Chemical Properties'!J45,'Chemical Properties'!J8)/$B$7)*(W51*$B$4+$N$78*V51+$B$12*AA51*$B$15+($B$7-$B$12))+((IF(ABS('Chemical Properties'!I45)&gt;0,'Chemical Properties'!I45,'Chemical Properties'!I8)*$B$9*$B$4*$B$8)/$B$7)-B24)</f>
        <v>349.33289727474761</v>
      </c>
      <c r="Z51" s="105">
        <f>-IF(ABS('Chemical Properties'!J45)&gt;0,'Chemical Properties'!J45,'Chemical Properties'!J8)*B24</f>
        <v>-42.47</v>
      </c>
      <c r="AA51" s="105">
        <f>0.000001*$F$11*'Chemical Properties'!N8</f>
        <v>3.6183780472725152E-4</v>
      </c>
      <c r="AB51" s="88"/>
    </row>
    <row r="52" spans="8:28">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Properties'!F9)/$F$12)^(2/3),IF($N$80&lt;14,IF($N$82&lt;0.3,0.000001+0.0144*$N$82^2.2*N52^(-0.5),0.000001+0.00341*$N$82*N52^(-0.5)),IF($N$80&lt;=51.2,(0.000000002605*$N$80+0.0000001277)*$N$43^2*(IF(ABS('Chemical Properties'!F46)&gt;0,'Chemical Properties'!F46,'Chemical Properties'!F9)/$F$12)^(2/3),0.000000261*$N$43^2*(IF(ABS('Chemical Properties'!F46)&gt;0,'Chemical Properties'!F46,'Chemical Properties'!F9)/$F$12)^(2/3))))</f>
        <v>5.8354278967415931E-6</v>
      </c>
      <c r="Q52" s="71">
        <f>($N$83*((IF(ABS('Chemical Properties'!F46)&gt;0,'Chemical Properties'!F46,'Chemical Properties'!F9))/0.0000693)^(0.5))/$N$84</f>
        <v>5.0934031977813962E-5</v>
      </c>
      <c r="R52" s="105">
        <f t="shared" si="3"/>
        <v>7.098686626509941E-3</v>
      </c>
      <c r="S52" s="72">
        <f t="shared" si="5"/>
        <v>1.5280209593344189E-4</v>
      </c>
      <c r="T52" s="105">
        <f t="shared" si="6"/>
        <v>3.2673875086156834E-5</v>
      </c>
      <c r="U52" s="105">
        <f t="shared" si="7"/>
        <v>5.8273964389385035E-6</v>
      </c>
      <c r="V52" s="105">
        <f>IF(ABS('Chemical Properties'!E46)&gt;0,'Chemical Properties'!E46,'Chemical Properties'!E9)/($F$5*($B$5+273.15))</f>
        <v>0.59645115647181168</v>
      </c>
      <c r="W52" s="105">
        <f t="shared" si="8"/>
        <v>1.6785142825558231E-5</v>
      </c>
      <c r="X52" s="105">
        <f t="shared" si="4"/>
        <v>3.7679725081370758</v>
      </c>
      <c r="Y52" s="105">
        <f>((IF(ABS('Chemical Properties'!J46)&gt;0,'Chemical Properties'!J46,'Chemical Properties'!J9)/$B$7)*(W52*$B$4+$N$78*V52+$B$12*AA52*$B$15+($B$7-$B$12))+((IF(ABS('Chemical Properties'!I46)&gt;0,'Chemical Properties'!I46,'Chemical Properties'!I9)*$B$9*$B$4*$B$8)/$B$7)-B25)</f>
        <v>261.91685644643712</v>
      </c>
      <c r="Z52" s="105">
        <f>-IF(ABS('Chemical Properties'!J46)&gt;0,'Chemical Properties'!J46,'Chemical Properties'!J9)*B25</f>
        <v>-10.796639224919337</v>
      </c>
      <c r="AA52" s="105">
        <f>0.000001*$F$11*'Chemical Properties'!N9</f>
        <v>6.0050128334129512E-4</v>
      </c>
      <c r="AB52" s="88"/>
    </row>
    <row r="53" spans="8:28">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Properties'!F10)/$F$12)^(2/3),IF($N$80&lt;14,IF($N$82&lt;0.3,0.000001+0.0144*$N$82^2.2*N53^(-0.5),0.000001+0.00341*$N$82*N53^(-0.5)),IF($N$80&lt;=51.2,(0.000000002605*$N$80+0.0000001277)*$N$43^2*(IF(ABS('Chemical Properties'!F47)&gt;0,'Chemical Properties'!F47,'Chemical Properties'!F10)/$F$12)^(2/3),0.000000261*$N$43^2*(IF(ABS('Chemical Properties'!F47)&gt;0,'Chemical Properties'!F47,'Chemical Properties'!F10)/$F$12)^(2/3))))</f>
        <v>6.0681917625461314E-6</v>
      </c>
      <c r="Q53" s="71">
        <f>($N$83*((IF(ABS('Chemical Properties'!F47)&gt;0,'Chemical Properties'!F47,'Chemical Properties'!F10))/0.0000693)^(0.5))/$N$84</f>
        <v>5.3385852672350002E-5</v>
      </c>
      <c r="R53" s="105">
        <f t="shared" si="3"/>
        <v>6.4767195010191E-3</v>
      </c>
      <c r="S53" s="72">
        <f t="shared" si="5"/>
        <v>1.6015755801705001E-4</v>
      </c>
      <c r="T53" s="105">
        <f t="shared" si="6"/>
        <v>2.6227992455114965E-5</v>
      </c>
      <c r="U53" s="105">
        <f t="shared" si="7"/>
        <v>6.0505820156715233E-6</v>
      </c>
      <c r="V53" s="105">
        <f>IF(ABS('Chemical Properties'!E47)&gt;0,'Chemical Properties'!E47,'Chemical Properties'!E10)/($F$5*($B$5+273.15))</f>
        <v>0.32192021321903264</v>
      </c>
      <c r="W53" s="105">
        <f t="shared" si="8"/>
        <v>1.42862597460566E-5</v>
      </c>
      <c r="X53" s="105">
        <f t="shared" si="4"/>
        <v>2.4970674409628613</v>
      </c>
      <c r="Y53" s="105">
        <f>((IF(ABS('Chemical Properties'!J47)&gt;0,'Chemical Properties'!J47,'Chemical Properties'!J10)/$B$7)*(W53*$B$4+$N$78*V53+$B$12*AA53*$B$15+($B$7-$B$12))+((IF(ABS('Chemical Properties'!I47)&gt;0,'Chemical Properties'!I47,'Chemical Properties'!I10)*$B$9*$B$4*$B$8)/$B$7)-B26)</f>
        <v>55.677408856451173</v>
      </c>
      <c r="Z53" s="105">
        <f>-IF(ABS('Chemical Properties'!J47)&gt;0,'Chemical Properties'!J47,'Chemical Properties'!J10)*B26</f>
        <v>-3.2380952380952377</v>
      </c>
      <c r="AA53" s="105">
        <f>0.000001*$F$11*'Chemical Properties'!N10</f>
        <v>2.1802883784250701E-4</v>
      </c>
      <c r="AB53" s="88"/>
    </row>
    <row r="54" spans="8:28">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Properties'!F11)/$F$12)^(2/3),IF($N$80&lt;14,IF($N$82&lt;0.3,0.000001+0.0144*$N$82^2.2*N54^(-0.5),0.000001+0.00341*$N$82*N54^(-0.5)),IF($N$80&lt;=51.2,(0.000000002605*$N$80+0.0000001277)*$N$43^2*(IF(ABS('Chemical Properties'!F48)&gt;0,'Chemical Properties'!F48,'Chemical Properties'!F11)/$F$12)^(2/3),0.000000261*$N$43^2*(IF(ABS('Chemical Properties'!F48)&gt;0,'Chemical Properties'!F48,'Chemical Properties'!F11)/$F$12)^(2/3))))</f>
        <v>6.1327573178596216E-6</v>
      </c>
      <c r="Q54" s="71">
        <f>($N$83*((IF(ABS('Chemical Properties'!F48)&gt;0,'Chemical Properties'!F48,'Chemical Properties'!F11))/0.0000693)^(0.5))/$N$84</f>
        <v>5.4065954646617608E-5</v>
      </c>
      <c r="R54" s="105">
        <f t="shared" si="3"/>
        <v>6.2431983919731052E-3</v>
      </c>
      <c r="S54" s="72">
        <f t="shared" si="5"/>
        <v>1.6219786393985281E-4</v>
      </c>
      <c r="T54" s="105">
        <f t="shared" si="6"/>
        <v>1.3628775315492357E-5</v>
      </c>
      <c r="U54" s="105">
        <f t="shared" si="7"/>
        <v>6.0795992880999763E-6</v>
      </c>
      <c r="V54" s="105">
        <f>IF(ABS('Chemical Properties'!E48)&gt;0,'Chemical Properties'!E48,'Chemical Properties'!E11)/($F$5*($B$5+273.15))</f>
        <v>0.11234525207517</v>
      </c>
      <c r="W54" s="105">
        <f t="shared" si="8"/>
        <v>9.1608956258111521E-6</v>
      </c>
      <c r="X54" s="105">
        <f t="shared" si="4"/>
        <v>1.5280022206575279</v>
      </c>
      <c r="Y54" s="105">
        <f>((IF(ABS('Chemical Properties'!J48)&gt;0,'Chemical Properties'!J48,'Chemical Properties'!J11)/$B$7)*(W54*$B$4+$N$78*V54+$B$12*AA54*$B$15+($B$7-$B$12))+((IF(ABS('Chemical Properties'!I48)&gt;0,'Chemical Properties'!I48,'Chemical Properties'!I11)*$B$9*$B$4*$B$8)/$B$7)-B27)</f>
        <v>654.24331723438593</v>
      </c>
      <c r="Z54" s="105">
        <f>-IF(ABS('Chemical Properties'!J48)&gt;0,'Chemical Properties'!J48,'Chemical Properties'!J11)*B27</f>
        <v>0</v>
      </c>
      <c r="AA54" s="105">
        <f>0.000001*$F$11*'Chemical Properties'!N11</f>
        <v>1.3756689654521078E-4</v>
      </c>
      <c r="AB54" s="88"/>
    </row>
    <row r="55" spans="8:28">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Properties'!F12)/$F$12)^(2/3),IF($N$80&lt;14,IF($N$82&lt;0.3,0.000001+0.0144*$N$82^2.2*N55^(-0.5),0.000001+0.00341*$N$82*N55^(-0.5)),IF($N$80&lt;=51.2,(0.000000002605*$N$80+0.0000001277)*$N$43^2*(IF(ABS('Chemical Properties'!F49)&gt;0,'Chemical Properties'!F49,'Chemical Properties'!F12)/$F$12)^(2/3),0.000000261*$N$43^2*(IF(ABS('Chemical Properties'!F49)&gt;0,'Chemical Properties'!F49,'Chemical Properties'!F12)/$F$12)^(2/3))))</f>
        <v>6.9637250836583694E-6</v>
      </c>
      <c r="Q55" s="71">
        <f>($N$83*((IF(ABS('Chemical Properties'!F49)&gt;0,'Chemical Properties'!F49,'Chemical Properties'!F12))/0.0000693)^(0.5))/$N$84</f>
        <v>6.2818962582946654E-5</v>
      </c>
      <c r="R55" s="105">
        <f t="shared" si="3"/>
        <v>1.4471635148152844E-2</v>
      </c>
      <c r="S55" s="72">
        <f t="shared" si="5"/>
        <v>1.8845688774883997E-4</v>
      </c>
      <c r="T55" s="105">
        <f t="shared" si="6"/>
        <v>5.6549794254226967E-5</v>
      </c>
      <c r="U55" s="105">
        <f t="shared" si="7"/>
        <v>6.9626107986473412E-6</v>
      </c>
      <c r="V55" s="105">
        <f>IF(ABS('Chemical Properties'!E49)&gt;0,'Chemical Properties'!E49,'Chemical Properties'!E12)/($F$5*($B$5+273.15))</f>
        <v>3.0067674737209136</v>
      </c>
      <c r="W55" s="105">
        <f t="shared" si="8"/>
        <v>2.7202277515210452E-5</v>
      </c>
      <c r="X55" s="105">
        <f t="shared" si="4"/>
        <v>14.817467390629291</v>
      </c>
      <c r="Y55" s="105">
        <f>((IF(ABS('Chemical Properties'!J49)&gt;0,'Chemical Properties'!J49,'Chemical Properties'!J12)/$B$7)*(W55*$B$4+$N$78*V55+$B$12*AA55*$B$15+($B$7-$B$12))+((IF(ABS('Chemical Properties'!I49)&gt;0,'Chemical Properties'!I49,'Chemical Properties'!I12)*$B$9*$B$4*$B$8)/$B$7)-B28)</f>
        <v>435.99739372451199</v>
      </c>
      <c r="Z55" s="105">
        <f>-IF(ABS('Chemical Properties'!J49)&gt;0,'Chemical Properties'!J49,'Chemical Properties'!J12)*B28</f>
        <v>0</v>
      </c>
      <c r="AA55" s="105">
        <f>0.000001*$F$11*'Chemical Properties'!N12</f>
        <v>1.5435259662477542E-5</v>
      </c>
      <c r="AB55" s="88"/>
    </row>
    <row r="56" spans="8:28">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Properties'!F13)/$F$12)^(2/3),IF($N$80&lt;14,IF($N$82&lt;0.3,0.000001+0.0144*$N$82^2.2*N56^(-0.5),0.000001+0.00341*$N$82*N56^(-0.5)),IF($N$80&lt;=51.2,(0.000000002605*$N$80+0.0000001277)*$N$43^2*(IF(ABS('Chemical Properties'!F50)&gt;0,'Chemical Properties'!F50,'Chemical Properties'!F13)/$F$12)^(2/3),0.000000261*$N$43^2*(IF(ABS('Chemical Properties'!F50)&gt;0,'Chemical Properties'!F50,'Chemical Properties'!F13)/$F$12)^(2/3))))</f>
        <v>7.8142065508849333E-6</v>
      </c>
      <c r="Q56" s="71">
        <f>($N$83*((IF(ABS('Chemical Properties'!F50)&gt;0,'Chemical Properties'!F50,'Chemical Properties'!F13))/0.0000693)^(0.5))/$N$84</f>
        <v>7.1777518304033224E-5</v>
      </c>
      <c r="R56" s="105">
        <f t="shared" si="3"/>
        <v>1.0425137858235765E-2</v>
      </c>
      <c r="S56" s="72">
        <f t="shared" si="5"/>
        <v>2.1533255491209966E-4</v>
      </c>
      <c r="T56" s="105">
        <f t="shared" si="6"/>
        <v>1.5834650230207742E-11</v>
      </c>
      <c r="U56" s="105">
        <f t="shared" si="7"/>
        <v>7.6654574811375337E-10</v>
      </c>
      <c r="V56" s="105">
        <f>IF(ABS('Chemical Properties'!E50)&gt;0,'Chemical Properties'!E50,'Chemical Properties'!E13)/($F$5*($B$5+273.15))</f>
        <v>7.3535809436306684E-8</v>
      </c>
      <c r="W56" s="105">
        <f t="shared" si="8"/>
        <v>4.6013305510006125E-10</v>
      </c>
      <c r="X56" s="105">
        <f t="shared" si="4"/>
        <v>0.9984009353807205</v>
      </c>
      <c r="Y56" s="105">
        <f>((IF(ABS('Chemical Properties'!J50)&gt;0,'Chemical Properties'!J50,'Chemical Properties'!J13)/$B$7)*(W56*$B$4+$N$78*V56+$B$12*AA56*$B$15+($B$7-$B$12))+((IF(ABS('Chemical Properties'!I50)&gt;0,'Chemical Properties'!I50,'Chemical Properties'!I13)*$B$9*$B$4*$B$8)/$B$7)-B29)</f>
        <v>414.78645091230112</v>
      </c>
      <c r="Z56" s="105">
        <f>-IF(ABS('Chemical Properties'!J50)&gt;0,'Chemical Properties'!J50,'Chemical Properties'!J13)*B29</f>
        <v>0</v>
      </c>
      <c r="AA56" s="105">
        <f>0.000001*$F$11*'Chemical Properties'!N13</f>
        <v>1.4405022463925467E-9</v>
      </c>
      <c r="AB56" s="88"/>
    </row>
    <row r="57" spans="8:28">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Properties'!F14)/$F$12)^(2/3),IF($N$80&lt;14,IF($N$82&lt;0.3,0.000001+0.0144*$N$82^2.2*N57^(-0.5),0.000001+0.00341*$N$82*N57^(-0.5)),IF($N$80&lt;=51.2,(0.000000002605*$N$80+0.0000001277)*$N$43^2*(IF(ABS('Chemical Properties'!F51)&gt;0,'Chemical Properties'!F51,'Chemical Properties'!F14)/$F$12)^(2/3),0.000000261*$N$43^2*(IF(ABS('Chemical Properties'!F51)&gt;0,'Chemical Properties'!F51,'Chemical Properties'!F14)/$F$12)^(2/3))))</f>
        <v>6.0681917625461314E-6</v>
      </c>
      <c r="Q57" s="71">
        <f>($N$83*((IF(ABS('Chemical Properties'!F51)&gt;0,'Chemical Properties'!F51,'Chemical Properties'!F14))/0.0000693)^(0.5))/$N$84</f>
        <v>5.3385852672350002E-5</v>
      </c>
      <c r="R57" s="105">
        <f t="shared" si="3"/>
        <v>6.4767195010191E-3</v>
      </c>
      <c r="S57" s="72">
        <f t="shared" si="5"/>
        <v>1.6015755801705001E-4</v>
      </c>
      <c r="T57" s="105">
        <f t="shared" si="6"/>
        <v>8.8810467616313393E-7</v>
      </c>
      <c r="U57" s="105">
        <f t="shared" si="7"/>
        <v>5.2036088921108615E-6</v>
      </c>
      <c r="V57" s="105">
        <f>IF(ABS('Chemical Properties'!E51)&gt;0,'Chemical Properties'!E51,'Chemical Properties'!E14)/($F$5*($B$5+273.15))</f>
        <v>5.6390017353864438E-3</v>
      </c>
      <c r="W57" s="105">
        <f t="shared" si="8"/>
        <v>3.4421785998872994E-6</v>
      </c>
      <c r="X57" s="105">
        <f t="shared" si="4"/>
        <v>1.0285289756408122</v>
      </c>
      <c r="Y57" s="105">
        <f>((IF(ABS('Chemical Properties'!J51)&gt;0,'Chemical Properties'!J51,'Chemical Properties'!J14)/$B$7)*(W57*$B$4+$N$78*V57+$B$12*AA57*$B$15+($B$7-$B$12))+((IF(ABS('Chemical Properties'!I51)&gt;0,'Chemical Properties'!I51,'Chemical Properties'!I14)*$B$9*$B$4*$B$8)/$B$7)-B30)</f>
        <v>6.9733479520487895</v>
      </c>
      <c r="Z57" s="105">
        <f>-IF(ABS('Chemical Properties'!J51)&gt;0,'Chemical Properties'!J51,'Chemical Properties'!J14)*B30</f>
        <v>0</v>
      </c>
      <c r="AA57" s="105">
        <f>0.000001*$F$11*'Chemical Properties'!N14</f>
        <v>2.4463237962930282E-6</v>
      </c>
      <c r="AB57" s="88"/>
    </row>
    <row r="58" spans="8:28">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Properties'!F15)/$F$12)^(2/3),IF($N$80&lt;14,IF($N$82&lt;0.3,0.000001+0.0144*$N$82^2.2*N58^(-0.5),0.000001+0.00341*$N$82*N58^(-0.5)),IF($N$80&lt;=51.2,(0.000000002605*$N$80+0.0000001277)*$N$43^2*(IF(ABS('Chemical Properties'!F52)&gt;0,'Chemical Properties'!F52,'Chemical Properties'!F15)/$F$12)^(2/3),0.000000261*$N$43^2*(IF(ABS('Chemical Properties'!F52)&gt;0,'Chemical Properties'!F52,'Chemical Properties'!F15)/$F$12)^(2/3))))</f>
        <v>6.3217560551329873E-6</v>
      </c>
      <c r="Q58" s="71">
        <f>($N$83*((IF(ABS('Chemical Properties'!F52)&gt;0,'Chemical Properties'!F52,'Chemical Properties'!F15))/0.0000693)^(0.5))/$N$84</f>
        <v>5.6056774887063125E-5</v>
      </c>
      <c r="R58" s="105">
        <f t="shared" si="3"/>
        <v>7.1538847852294666E-3</v>
      </c>
      <c r="S58" s="72">
        <f t="shared" si="5"/>
        <v>1.6817032466118938E-4</v>
      </c>
      <c r="T58" s="105">
        <f t="shared" si="6"/>
        <v>2.5150864079483947E-5</v>
      </c>
      <c r="U58" s="105">
        <f t="shared" si="7"/>
        <v>6.3012287975369427E-6</v>
      </c>
      <c r="V58" s="105">
        <f>IF(ABS('Chemical Properties'!E52)&gt;0,'Chemical Properties'!E52,'Chemical Properties'!E15)/($F$5*($B$5+273.15))</f>
        <v>0.27126271773786503</v>
      </c>
      <c r="W58" s="105">
        <f t="shared" si="8"/>
        <v>1.3994957484045924E-5</v>
      </c>
      <c r="X58" s="105">
        <f t="shared" si="4"/>
        <v>2.2613560128507366</v>
      </c>
      <c r="Y58" s="105">
        <f>((IF(ABS('Chemical Properties'!J52)&gt;0,'Chemical Properties'!J52,'Chemical Properties'!J15)/$B$7)*(W58*$B$4+$N$78*V58+$B$12*AA58*$B$15+($B$7-$B$12))+((IF(ABS('Chemical Properties'!I52)&gt;0,'Chemical Properties'!I52,'Chemical Properties'!I15)*$B$9*$B$4*$B$8)/$B$7)-B31)</f>
        <v>594.31101659344677</v>
      </c>
      <c r="Z58" s="105">
        <f>-IF(ABS('Chemical Properties'!J52)&gt;0,'Chemical Properties'!J52,'Chemical Properties'!J15)*B31</f>
        <v>0</v>
      </c>
      <c r="AA58" s="105">
        <f>0.000001*$F$11*'Chemical Properties'!N15</f>
        <v>8.8820648529588301E-5</v>
      </c>
      <c r="AB58" s="88"/>
    </row>
    <row r="59" spans="8:28">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Properties'!F16)/$F$12)^(2/3),IF($N$80&lt;14,IF($N$82&lt;0.3,0.000001+0.0144*$N$82^2.2*N59^(-0.5),0.000001+0.00341*$N$82*N59^(-0.5)),IF($N$80&lt;=51.2,(0.000000002605*$N$80+0.0000001277)*$N$43^2*(IF(ABS('Chemical Properties'!F53)&gt;0,'Chemical Properties'!F53,'Chemical Properties'!F16)/$F$12)^(2/3),0.000000261*$N$43^2*(IF(ABS('Chemical Properties'!F53)&gt;0,'Chemical Properties'!F53,'Chemical Properties'!F16)/$F$12)^(2/3))))</f>
        <v>6.4742727704780299E-6</v>
      </c>
      <c r="Q59" s="71">
        <f>($N$83*((IF(ABS('Chemical Properties'!F53)&gt;0,'Chemical Properties'!F53,'Chemical Properties'!F16))/0.0000693)^(0.5))/$N$84</f>
        <v>5.7663311355484126E-5</v>
      </c>
      <c r="R59" s="105">
        <f t="shared" si="3"/>
        <v>6.8757380597184474E-3</v>
      </c>
      <c r="S59" s="72">
        <f t="shared" si="5"/>
        <v>1.7298993406645238E-4</v>
      </c>
      <c r="T59" s="105">
        <f t="shared" si="6"/>
        <v>2.8055126981288445E-9</v>
      </c>
      <c r="U59" s="105">
        <f t="shared" si="7"/>
        <v>1.0962639809597012E-7</v>
      </c>
      <c r="V59" s="105">
        <f>IF(ABS('Chemical Properties'!E53)&gt;0,'Chemical Properties'!E53,'Chemical Properties'!E16)/($F$5*($B$5+273.15))</f>
        <v>1.621856911776091E-5</v>
      </c>
      <c r="W59" s="105">
        <f t="shared" si="8"/>
        <v>6.602603670909613E-8</v>
      </c>
      <c r="X59" s="105">
        <f t="shared" si="4"/>
        <v>0.99866971933268278</v>
      </c>
      <c r="Y59" s="105">
        <f>((IF(ABS('Chemical Properties'!J53)&gt;0,'Chemical Properties'!J53,'Chemical Properties'!J16)/$B$7)*(W59*$B$4+$N$78*V59+$B$12*AA59*$B$15+($B$7-$B$12))+((IF(ABS('Chemical Properties'!I53)&gt;0,'Chemical Properties'!I53,'Chemical Properties'!I16)*$B$9*$B$4*$B$8)/$B$7)-B32)</f>
        <v>700.59744585450801</v>
      </c>
      <c r="Z59" s="105">
        <f>-IF(ABS('Chemical Properties'!J53)&gt;0,'Chemical Properties'!J53,'Chemical Properties'!J16)*B32</f>
        <v>0</v>
      </c>
      <c r="AA59" s="105">
        <f>0.000001*$F$11*'Chemical Properties'!N16</f>
        <v>4.7699512434615613E-6</v>
      </c>
      <c r="AB59" s="88"/>
    </row>
    <row r="60" spans="8:28">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Properties'!F17)/$F$12)^(2/3),IF($N$80&lt;14,IF($N$82&lt;0.3,0.000001+0.0144*$N$82^2.2*N60^(-0.5),0.000001+0.00341*$N$82*N60^(-0.5)),IF($N$80&lt;=51.2,(0.000000002605*$N$80+0.0000001277)*$N$43^2*(IF(ABS('Chemical Properties'!F54)&gt;0,'Chemical Properties'!F54,'Chemical Properties'!F17)/$F$12)^(2/3),0.000000261*$N$43^2*(IF(ABS('Chemical Properties'!F54)&gt;0,'Chemical Properties'!F54,'Chemical Properties'!F17)/$F$12)^(2/3))))</f>
        <v>6.058435850203629E-6</v>
      </c>
      <c r="Q60" s="71">
        <f>($N$83*((IF(ABS('Chemical Properties'!F54)&gt;0,'Chemical Properties'!F54,'Chemical Properties'!F17))/0.0000693)^(0.5))/$N$84</f>
        <v>5.3283088664316589E-5</v>
      </c>
      <c r="R60" s="105">
        <f t="shared" si="3"/>
        <v>1.2495514399308837E-2</v>
      </c>
      <c r="S60" s="72">
        <f t="shared" si="5"/>
        <v>1.5984926599294977E-4</v>
      </c>
      <c r="T60" s="105">
        <f t="shared" si="6"/>
        <v>4.9942902564820744E-5</v>
      </c>
      <c r="U60" s="105">
        <f t="shared" si="7"/>
        <v>6.0578465415994367E-6</v>
      </c>
      <c r="V60" s="105">
        <f>IF(ABS('Chemical Properties'!E54)&gt;0,'Chemical Properties'!E54,'Chemical Properties'!E17)/($F$5*($B$5+273.15))</f>
        <v>4.9840439102439058</v>
      </c>
      <c r="W60" s="105">
        <f t="shared" si="8"/>
        <v>2.3970114306179562E-5</v>
      </c>
      <c r="X60" s="105">
        <f t="shared" si="4"/>
        <v>23.916426964557587</v>
      </c>
      <c r="Y60" s="105">
        <f>((IF(ABS('Chemical Properties'!J54)&gt;0,'Chemical Properties'!J54,'Chemical Properties'!J17)/$B$7)*(W60*$B$4+$N$78*V60+$B$12*AA60*$B$15+($B$7-$B$12))+((IF(ABS('Chemical Properties'!I54)&gt;0,'Chemical Properties'!I54,'Chemical Properties'!I17)*$B$9*$B$4*$B$8)/$B$7)-B33)</f>
        <v>358.53263476638892</v>
      </c>
      <c r="Z60" s="105">
        <f>-IF(ABS('Chemical Properties'!J54)&gt;0,'Chemical Properties'!J54,'Chemical Properties'!J17)*B33</f>
        <v>0</v>
      </c>
      <c r="AA60" s="105">
        <f>0.000001*$F$11*'Chemical Properties'!N17</f>
        <v>1.579479304664707E-3</v>
      </c>
      <c r="AB60" s="88"/>
    </row>
    <row r="61" spans="8:28">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Properties'!F18)/$F$12)^(2/3),IF($N$80&lt;14,IF($N$82&lt;0.3,0.000001+0.0144*$N$82^2.2*N61^(-0.5),0.000001+0.00341*$N$82*N61^(-0.5)),IF($N$80&lt;=51.2,(0.000000002605*$N$80+0.0000001277)*$N$43^2*(IF(ABS('Chemical Properties'!F55)&gt;0,'Chemical Properties'!F55,'Chemical Properties'!F18)/$F$12)^(2/3),0.000000261*$N$43^2*(IF(ABS('Chemical Properties'!F55)&gt;0,'Chemical Properties'!F55,'Chemical Properties'!F18)/$F$12)^(2/3))))</f>
        <v>6.5341026650847605E-6</v>
      </c>
      <c r="Q61" s="71">
        <f>($N$83*((IF(ABS('Chemical Properties'!F55)&gt;0,'Chemical Properties'!F55,'Chemical Properties'!F18))/0.0000693)^(0.5))/$N$84</f>
        <v>5.8293530196547181E-5</v>
      </c>
      <c r="R61" s="105">
        <f t="shared" si="3"/>
        <v>6.1485808401953177E-3</v>
      </c>
      <c r="S61" s="72">
        <f t="shared" si="5"/>
        <v>1.7488059058964154E-4</v>
      </c>
      <c r="T61" s="105">
        <f t="shared" si="6"/>
        <v>1.1571573991936002E-8</v>
      </c>
      <c r="U61" s="105">
        <f t="shared" si="7"/>
        <v>3.8306656980891011E-7</v>
      </c>
      <c r="V61" s="105">
        <f>IF(ABS('Chemical Properties'!E55)&gt;0,'Chemical Properties'!E55,'Chemical Properties'!E18)/($F$5*($B$5+273.15))</f>
        <v>6.618156667700924E-5</v>
      </c>
      <c r="W61" s="105">
        <f t="shared" si="8"/>
        <v>2.3143595927136968E-7</v>
      </c>
      <c r="X61" s="105">
        <f t="shared" si="4"/>
        <v>0.9989907278728597</v>
      </c>
      <c r="Y61" s="105">
        <f>((IF(ABS('Chemical Properties'!J55)&gt;0,'Chemical Properties'!J55,'Chemical Properties'!J18)/$B$7)*(W61*$B$4+$N$78*V61+$B$12*AA61*$B$15+($B$7-$B$12))+((IF(ABS('Chemical Properties'!I55)&gt;0,'Chemical Properties'!I55,'Chemical Properties'!I18)*$B$9*$B$4*$B$8)/$B$7)-B34)</f>
        <v>165.70574235731817</v>
      </c>
      <c r="Z61" s="105">
        <f>-IF(ABS('Chemical Properties'!J55)&gt;0,'Chemical Properties'!J55,'Chemical Properties'!J18)*B34</f>
        <v>0</v>
      </c>
      <c r="AA61" s="105">
        <f>0.000001*$F$11*'Chemical Properties'!N18</f>
        <v>1.5794793046647064E-7</v>
      </c>
      <c r="AB61" s="88"/>
    </row>
    <row r="62" spans="8:28">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Properties'!F19)/$F$12)^(2/3),IF($N$80&lt;14,IF($N$82&lt;0.3,0.000001+0.0144*$N$82^2.2*N62^(-0.5),0.000001+0.00341*$N$82*N62^(-0.5)),IF($N$80&lt;=51.2,(0.000000002605*$N$80+0.0000001277)*$N$43^2*(IF(ABS('Chemical Properties'!F56)&gt;0,'Chemical Properties'!F56,'Chemical Properties'!F19)/$F$12)^(2/3),0.000000261*$N$43^2*(IF(ABS('Chemical Properties'!F56)&gt;0,'Chemical Properties'!F56,'Chemical Properties'!F19)/$F$12)^(2/3))))</f>
        <v>6.5459911914930456E-6</v>
      </c>
      <c r="Q62" s="71">
        <f>($N$83*((IF(ABS('Chemical Properties'!F56)&gt;0,'Chemical Properties'!F56,'Chemical Properties'!F19))/0.0000693)^(0.5))/$N$84</f>
        <v>5.8418758117876895E-5</v>
      </c>
      <c r="R62" s="105">
        <f t="shared" si="3"/>
        <v>6.2667424158220544E-3</v>
      </c>
      <c r="S62" s="72">
        <f t="shared" si="5"/>
        <v>1.7525627435363068E-4</v>
      </c>
      <c r="T62" s="105">
        <f t="shared" si="6"/>
        <v>2.4852569801574937E-5</v>
      </c>
      <c r="U62" s="105">
        <f t="shared" si="7"/>
        <v>6.518402776888026E-6</v>
      </c>
      <c r="V62" s="105">
        <f>IF(ABS('Chemical Properties'!E56)&gt;0,'Chemical Properties'!E56,'Chemical Properties'!E19)/($F$5*($B$5+273.15))</f>
        <v>0.24680162834678984</v>
      </c>
      <c r="W62" s="105">
        <f t="shared" si="8"/>
        <v>1.4001736256352069E-5</v>
      </c>
      <c r="X62" s="105">
        <f t="shared" si="4"/>
        <v>2.1526907833486773</v>
      </c>
      <c r="Y62" s="105">
        <f>((IF(ABS('Chemical Properties'!J56)&gt;0,'Chemical Properties'!J56,'Chemical Properties'!J19)/$B$7)*(W62*$B$4+$N$78*V62+$B$12*AA62*$B$15+($B$7-$B$12))+((IF(ABS('Chemical Properties'!I56)&gt;0,'Chemical Properties'!I56,'Chemical Properties'!I19)*$B$9*$B$4*$B$8)/$B$7)-B35)</f>
        <v>340.34432442256997</v>
      </c>
      <c r="Z62" s="105">
        <f>-IF(ABS('Chemical Properties'!J56)&gt;0,'Chemical Properties'!J56,'Chemical Properties'!J19)*B35</f>
        <v>0</v>
      </c>
      <c r="AA62" s="105">
        <f>0.000001*$F$11*'Chemical Properties'!N19</f>
        <v>2.3362210884676578E-4</v>
      </c>
      <c r="AB62" s="88"/>
    </row>
    <row r="63" spans="8:28">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Properties'!F20)/$F$12)^(2/3),IF($N$80&lt;14,IF($N$82&lt;0.3,0.000001+0.0144*$N$82^2.2*N63^(-0.5),0.000001+0.00341*$N$82*N63^(-0.5)),IF($N$80&lt;=51.2,(0.000000002605*$N$80+0.0000001277)*$N$43^2*(IF(ABS('Chemical Properties'!F57)&gt;0,'Chemical Properties'!F57,'Chemical Properties'!F20)/$F$12)^(2/3),0.000000261*$N$43^2*(IF(ABS('Chemical Properties'!F57)&gt;0,'Chemical Properties'!F57,'Chemical Properties'!F20)/$F$12)^(2/3))))</f>
        <v>6.8803122332325578E-6</v>
      </c>
      <c r="Q63" s="71">
        <f>($N$83*((IF(ABS('Chemical Properties'!F57)&gt;0,'Chemical Properties'!F57,'Chemical Properties'!F20))/0.0000693)^(0.5))/$N$84</f>
        <v>6.1940332422043661E-5</v>
      </c>
      <c r="R63" s="105">
        <f t="shared" si="3"/>
        <v>7.9793040326923276E-3</v>
      </c>
      <c r="S63" s="72">
        <f t="shared" si="5"/>
        <v>1.8582099726613098E-4</v>
      </c>
      <c r="T63" s="105">
        <f t="shared" si="6"/>
        <v>3.9456846847659805E-6</v>
      </c>
      <c r="U63" s="105">
        <f t="shared" si="7"/>
        <v>6.6282941518580226E-6</v>
      </c>
      <c r="V63" s="105">
        <f>IF(ABS('Chemical Properties'!E57)&gt;0,'Chemical Properties'!E57,'Chemical Properties'!E20)/($F$5*($B$5+273.15))</f>
        <v>2.267844153849265E-2</v>
      </c>
      <c r="W63" s="105">
        <f t="shared" si="8"/>
        <v>5.5333515122286181E-6</v>
      </c>
      <c r="X63" s="105">
        <f t="shared" si="4"/>
        <v>1.1094562028350385</v>
      </c>
      <c r="Y63" s="105">
        <f>((IF(ABS('Chemical Properties'!J57)&gt;0,'Chemical Properties'!J57,'Chemical Properties'!J20)/$B$7)*(W63*$B$4+$N$78*V63+$B$12*AA63*$B$15+($B$7-$B$12))+((IF(ABS('Chemical Properties'!I57)&gt;0,'Chemical Properties'!I57,'Chemical Properties'!I20)*$B$9*$B$4*$B$8)/$B$7)-B36)</f>
        <v>152.81700325125385</v>
      </c>
      <c r="Z63" s="105">
        <f>-IF(ABS('Chemical Properties'!J57)&gt;0,'Chemical Properties'!J57,'Chemical Properties'!J20)*B36</f>
        <v>0</v>
      </c>
      <c r="AA63" s="105">
        <f>0.000001*$F$11*'Chemical Properties'!N20</f>
        <v>1.2588788578478174E-5</v>
      </c>
      <c r="AB63" s="88"/>
    </row>
    <row r="64" spans="8:28">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Properties'!F21)/$F$12)^(2/3),IF($N$80&lt;14,IF($N$82&lt;0.3,0.000001+0.0144*$N$82^2.2*N64^(-0.5),0.000001+0.00341*$N$82*N64^(-0.5)),IF($N$80&lt;=51.2,(0.000000002605*$N$80+0.0000001277)*$N$43^2*(IF(ABS('Chemical Properties'!F58)&gt;0,'Chemical Properties'!F58,'Chemical Properties'!F21)/$F$12)^(2/3),0.000000261*$N$43^2*(IF(ABS('Chemical Properties'!F58)&gt;0,'Chemical Properties'!F58,'Chemical Properties'!F21)/$F$12)^(2/3))))</f>
        <v>6.196520723151456E-6</v>
      </c>
      <c r="Q64" s="71">
        <f>($N$83*((IF(ABS('Chemical Properties'!F58)&gt;0,'Chemical Properties'!F58,'Chemical Properties'!F21))/0.0000693)^(0.5))/$N$84</f>
        <v>5.4737607164968091E-5</v>
      </c>
      <c r="R64" s="105">
        <f t="shared" si="3"/>
        <v>4.2789731055326626E-3</v>
      </c>
      <c r="S64" s="72">
        <f t="shared" si="5"/>
        <v>1.6421282149490428E-4</v>
      </c>
      <c r="T64" s="105">
        <f t="shared" si="6"/>
        <v>1.8160747756526581E-6</v>
      </c>
      <c r="U64" s="105">
        <f t="shared" si="7"/>
        <v>5.5002036284470076E-6</v>
      </c>
      <c r="V64" s="105">
        <f>IF(ABS('Chemical Properties'!E58)&gt;0,'Chemical Properties'!E58,'Chemical Properties'!E21)/($F$5*($B$5+273.15))</f>
        <v>1.1438789302199128E-2</v>
      </c>
      <c r="W64" s="105">
        <f t="shared" si="8"/>
        <v>3.9964775660819664E-6</v>
      </c>
      <c r="X64" s="105">
        <f t="shared" si="4"/>
        <v>1.0775535345451326</v>
      </c>
      <c r="Y64" s="105">
        <f>((IF(ABS('Chemical Properties'!J58)&gt;0,'Chemical Properties'!J58,'Chemical Properties'!J21)/$B$7)*(W64*$B$4+$N$78*V64+$B$12*AA64*$B$15+($B$7-$B$12))+((IF(ABS('Chemical Properties'!I58)&gt;0,'Chemical Properties'!I58,'Chemical Properties'!I21)*$B$9*$B$4*$B$8)/$B$7)-B37)</f>
        <v>150.39477415930301</v>
      </c>
      <c r="Z64" s="105">
        <f>-IF(ABS('Chemical Properties'!J58)&gt;0,'Chemical Properties'!J58,'Chemical Properties'!J21)*B37</f>
        <v>0</v>
      </c>
      <c r="AA64" s="105">
        <f>0.000001*$F$11*'Chemical Properties'!N21</f>
        <v>9.0889547210159583E-4</v>
      </c>
      <c r="AB64" s="88"/>
    </row>
    <row r="65" spans="13:28">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Properties'!F22)/$F$12)^(2/3),IF($N$80&lt;14,IF($N$82&lt;0.3,0.000001+0.0144*$N$82^2.2*N65^(-0.5),0.000001+0.00341*$N$82*N65^(-0.5)),IF($N$80&lt;=51.2,(0.000000002605*$N$80+0.0000001277)*$N$43^2*(IF(ABS('Chemical Properties'!F59)&gt;0,'Chemical Properties'!F59,'Chemical Properties'!F22)/$F$12)^(2/3),0.000000261*$N$43^2*(IF(ABS('Chemical Properties'!F59)&gt;0,'Chemical Properties'!F59,'Chemical Properties'!F22)/$F$12)^(2/3))))</f>
        <v>7.5430074305755941E-6</v>
      </c>
      <c r="Q65" s="71">
        <f>($N$83*((IF(ABS('Chemical Properties'!F59)&gt;0,'Chemical Properties'!F59,'Chemical Properties'!F22))/0.0000693)^(0.5))/$N$84</f>
        <v>6.8920839441031427E-5</v>
      </c>
      <c r="R65" s="105">
        <f t="shared" si="3"/>
        <v>1.0836767493946152E-2</v>
      </c>
      <c r="S65" s="72">
        <f t="shared" si="5"/>
        <v>2.0676251832309428E-4</v>
      </c>
      <c r="T65" s="105">
        <f t="shared" si="6"/>
        <v>5.9116848772409203E-5</v>
      </c>
      <c r="U65" s="105">
        <f t="shared" si="7"/>
        <v>7.5403961603812736E-6</v>
      </c>
      <c r="V65" s="105">
        <f>IF(ABS('Chemical Properties'!E59)&gt;0,'Chemical Properties'!E59,'Chemical Properties'!E22)/($F$5*($B$5+273.15))</f>
        <v>2.0099586916721326</v>
      </c>
      <c r="W65" s="105">
        <f t="shared" si="8"/>
        <v>2.8592009471413081E-5</v>
      </c>
      <c r="X65" s="105">
        <f t="shared" si="4"/>
        <v>10.248672119434589</v>
      </c>
      <c r="Y65" s="105">
        <f>((IF(ABS('Chemical Properties'!J59)&gt;0,'Chemical Properties'!J59,'Chemical Properties'!J22)/$B$7)*(W65*$B$4+$N$78*V65+$B$12*AA65*$B$15+($B$7-$B$12))+((IF(ABS('Chemical Properties'!I59)&gt;0,'Chemical Properties'!I59,'Chemical Properties'!I22)*$B$9*$B$4*$B$8)/$B$7)-B38)</f>
        <v>284.8955949076236</v>
      </c>
      <c r="Z65" s="105">
        <f>-IF(ABS('Chemical Properties'!J59)&gt;0,'Chemical Properties'!J59,'Chemical Properties'!J22)*B38</f>
        <v>0</v>
      </c>
      <c r="AA65" s="105">
        <f>0.000001*$F$11*'Chemical Properties'!N22</f>
        <v>9.9865145680190467E-7</v>
      </c>
      <c r="AB65" s="88"/>
    </row>
    <row r="66" spans="13:28">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Properties'!F23)/$F$12)^(2/3),IF($N$80&lt;14,IF($N$82&lt;0.3,0.000001+0.0144*$N$82^2.2*N66^(-0.5),0.000001+0.00341*$N$82*N66^(-0.5)),IF($N$80&lt;=51.2,(0.000000002605*$N$80+0.0000001277)*$N$43^2*(IF(ABS('Chemical Properties'!F60)&gt;0,'Chemical Properties'!F60,'Chemical Properties'!F23)/$F$12)^(2/3),0.000000261*$N$43^2*(IF(ABS('Chemical Properties'!F60)&gt;0,'Chemical Properties'!F60,'Chemical Properties'!F23)/$F$12)^(2/3))))</f>
        <v>6.7098320583009582E-6</v>
      </c>
      <c r="Q66" s="71">
        <f>($N$83*((IF(ABS('Chemical Properties'!F60)&gt;0,'Chemical Properties'!F60,'Chemical Properties'!F23))/0.0000693)^(0.5))/$N$84</f>
        <v>6.0144577658044241E-5</v>
      </c>
      <c r="R66" s="105">
        <f t="shared" si="3"/>
        <v>8.0626234907690639E-3</v>
      </c>
      <c r="S66" s="72">
        <f t="shared" si="5"/>
        <v>1.8043373297413272E-4</v>
      </c>
      <c r="T66" s="105">
        <f t="shared" si="6"/>
        <v>8.8083622708042645E-6</v>
      </c>
      <c r="U66" s="105">
        <f t="shared" si="7"/>
        <v>6.6135992671464584E-6</v>
      </c>
      <c r="V66" s="105">
        <f>IF(ABS('Chemical Properties'!E60)&gt;0,'Chemical Properties'!E60,'Chemical Properties'!E23)/($F$5*($B$5+273.15))</f>
        <v>5.7193946510995644E-2</v>
      </c>
      <c r="W66" s="105">
        <f t="shared" si="8"/>
        <v>7.5094209012925016E-6</v>
      </c>
      <c r="X66" s="105">
        <f t="shared" si="4"/>
        <v>1.2699353104151458</v>
      </c>
      <c r="Y66" s="105">
        <f>((IF(ABS('Chemical Properties'!J60)&gt;0,'Chemical Properties'!J60,'Chemical Properties'!J23)/$B$7)*(W66*$B$4+$N$78*V66+$B$12*AA66*$B$15+($B$7-$B$12))+((IF(ABS('Chemical Properties'!I60)&gt;0,'Chemical Properties'!I60,'Chemical Properties'!I23)*$B$9*$B$4*$B$8)/$B$7)-B39)</f>
        <v>17.726736876688616</v>
      </c>
      <c r="Z66" s="105">
        <f>-IF(ABS('Chemical Properties'!J60)&gt;0,'Chemical Properties'!J60,'Chemical Properties'!J23)*B39</f>
        <v>0</v>
      </c>
      <c r="AA66" s="105">
        <f>0.000001*$F$11*'Chemical Properties'!N23</f>
        <v>4.7699512434615613E-6</v>
      </c>
      <c r="AB66" s="88"/>
    </row>
    <row r="67" spans="13:28">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Properties'!F24)/$F$12)^(2/3),IF($N$80&lt;14,IF($N$82&lt;0.3,0.000001+0.0144*$N$82^2.2*N67^(-0.5),0.000001+0.00341*$N$82*N67^(-0.5)),IF($N$80&lt;=51.2,(0.000000002605*$N$80+0.0000001277)*$N$43^2*(IF(ABS('Chemical Properties'!F61)&gt;0,'Chemical Properties'!F61,'Chemical Properties'!F24)/$F$12)^(2/3),0.000000261*$N$43^2*(IF(ABS('Chemical Properties'!F61)&gt;0,'Chemical Properties'!F61,'Chemical Properties'!F24)/$F$12)^(2/3))))</f>
        <v>6.6809213304666372E-6</v>
      </c>
      <c r="Q67" s="71">
        <f>($N$83*((IF(ABS('Chemical Properties'!F61)&gt;0,'Chemical Properties'!F61,'Chemical Properties'!F24))/0.0000693)^(0.5))/$N$84</f>
        <v>5.9840046194136484E-5</v>
      </c>
      <c r="R67" s="105">
        <f t="shared" si="3"/>
        <v>6.2078001037768797E-3</v>
      </c>
      <c r="S67" s="72">
        <f t="shared" si="5"/>
        <v>1.7952013858240945E-4</v>
      </c>
      <c r="T67" s="105">
        <f t="shared" si="6"/>
        <v>2.8382207249976166E-13</v>
      </c>
      <c r="U67" s="105">
        <f t="shared" si="7"/>
        <v>9.8145429536210316E-12</v>
      </c>
      <c r="V67" s="105">
        <f>IF(ABS('Chemical Properties'!E61)&gt;0,'Chemical Properties'!E61,'Chemical Properties'!E24)/($F$5*($B$5+273.15))</f>
        <v>1.5810040928396652E-9</v>
      </c>
      <c r="W67" s="105">
        <f t="shared" si="8"/>
        <v>5.92445279806133E-12</v>
      </c>
      <c r="X67" s="105">
        <f t="shared" si="4"/>
        <v>0.99840015534574345</v>
      </c>
      <c r="Y67" s="105">
        <f>((IF(ABS('Chemical Properties'!J61)&gt;0,'Chemical Properties'!J61,'Chemical Properties'!J24)/$B$7)*(W67*$B$4+$N$78*V67+$B$12*AA67*$B$15+($B$7-$B$12))+((IF(ABS('Chemical Properties'!I61)&gt;0,'Chemical Properties'!I61,'Chemical Properties'!I24)*$B$9*$B$4*$B$8)/$B$7)-B40)</f>
        <v>126.53401395542684</v>
      </c>
      <c r="Z67" s="105">
        <f>-IF(ABS('Chemical Properties'!J61)&gt;0,'Chemical Properties'!J61,'Chemical Properties'!J24)*B40</f>
        <v>0</v>
      </c>
      <c r="AA67" s="105">
        <f>0.000001*$F$11*'Chemical Properties'!N24</f>
        <v>5.8683220531284451E-9</v>
      </c>
      <c r="AB67" s="88"/>
    </row>
    <row r="68" spans="13:28">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Properties'!F25)/$F$12)^(2/3),IF($N$80&lt;14,IF($N$82&lt;0.3,0.000001+0.0144*$N$82^2.2*N68^(-0.5),0.000001+0.00341*$N$82*N68^(-0.5)),IF($N$80&lt;=51.2,(0.000000002605*$N$80+0.0000001277)*$N$43^2*(IF(ABS('Chemical Properties'!F62)&gt;0,'Chemical Properties'!F62,'Chemical Properties'!F25)/$F$12)^(2/3),0.000000261*$N$43^2*(IF(ABS('Chemical Properties'!F62)&gt;0,'Chemical Properties'!F62,'Chemical Properties'!F25)/$F$12)^(2/3))))</f>
        <v>5.6585251520442802E-6</v>
      </c>
      <c r="Q68" s="71">
        <f>($N$83*((IF(ABS('Chemical Properties'!F62)&gt;0,'Chemical Properties'!F62,'Chemical Properties'!F25))/0.0000693)^(0.5))/$N$84</f>
        <v>4.9070625005817177E-5</v>
      </c>
      <c r="R68" s="105">
        <f t="shared" si="3"/>
        <v>6.3779881090884807E-3</v>
      </c>
      <c r="S68" s="72">
        <f t="shared" si="5"/>
        <v>1.4721187501745152E-4</v>
      </c>
      <c r="T68" s="105">
        <f t="shared" si="6"/>
        <v>4.893883946781282E-5</v>
      </c>
      <c r="U68" s="105">
        <f t="shared" si="7"/>
        <v>5.6584845960525632E-6</v>
      </c>
      <c r="V68" s="105">
        <f>IF(ABS('Chemical Properties'!E62)&gt;0,'Chemical Properties'!E62,'Chemical Properties'!E25)/($F$5*($B$5+273.15))</f>
        <v>123.78404137736914</v>
      </c>
      <c r="W68" s="105">
        <f t="shared" si="8"/>
        <v>2.3323935564117974E-5</v>
      </c>
      <c r="X68" s="105">
        <f t="shared" si="4"/>
        <v>571.11270977901688</v>
      </c>
      <c r="Y68" s="105">
        <f>((IF(ABS('Chemical Properties'!J62)&gt;0,'Chemical Properties'!J62,'Chemical Properties'!J25)/$B$7)*(W68*$B$4+$N$78*V68+$B$12*AA68*$B$15+($B$7-$B$12))+((IF(ABS('Chemical Properties'!I62)&gt;0,'Chemical Properties'!I62,'Chemical Properties'!I25)*$B$9*$B$4*$B$8)/$B$7)-B41)</f>
        <v>6060.1398028631356</v>
      </c>
      <c r="Z68" s="105">
        <f>-IF(ABS('Chemical Properties'!J62)&gt;0,'Chemical Properties'!J62,'Chemical Properties'!J25)*B41</f>
        <v>0</v>
      </c>
      <c r="AA68" s="105">
        <f>0.000001*$F$11*'Chemical Properties'!N25</f>
        <v>0.10678590678677739</v>
      </c>
      <c r="AB68" s="88"/>
    </row>
    <row r="69" spans="13:28">
      <c r="M69" s="65" t="s">
        <v>59</v>
      </c>
      <c r="N69" s="105" t="e">
        <f>$F$3/($F$4*IF(ABS('Chemical Properties'!F63)&gt;0,'Chemical Properties'!F63,'Chemical Properties'!F26))</f>
        <v>#DIV/0!</v>
      </c>
      <c r="O69" s="105" t="e">
        <f>$F$6/($F$7*IF(ABS('Chemical Properties'!G63)&gt;0,'Chemical Properties'!G63,'Chemical Properties'!G26))</f>
        <v>#DIV/0!</v>
      </c>
      <c r="P69" s="105" t="e">
        <f>IF($N$43&lt;3.25,0.00000278*(IF(ABS('Chemical Properties'!F63)&gt;0,'Chemical Properties'!F63,'Chemical Properties'!F26)/$F$12)^(2/3),IF($N$80&lt;14,IF($N$82&lt;0.3,0.000001+0.0144*$N$82^2.2*N69^(-0.5),0.000001+0.00341*$N$82*N69^(-0.5)),IF($N$80&lt;=51.2,(0.000000002605*$N$80+0.0000001277)*$N$43^2*(IF(ABS('Chemical Properties'!F63)&gt;0,'Chemical Properties'!F63,'Chemical Properties'!F26)/$F$12)^(2/3),0.000000261*$N$43^2*(IF(ABS('Chemical Properties'!F63)&gt;0,'Chemical Properties'!F63,'Chemical Properties'!F26)/$F$12)^(2/3))))</f>
        <v>#DIV/0!</v>
      </c>
      <c r="Q69" s="71">
        <f>($N$83*((IF(ABS('Chemical Properties'!F63)&gt;0,'Chemical Properties'!F63,'Chemical Properties'!F26))/0.0000693)^(0.5))/$N$84</f>
        <v>0</v>
      </c>
      <c r="R69" s="105" t="e">
        <f t="shared" si="3"/>
        <v>#DIV/0!</v>
      </c>
      <c r="S69" s="72">
        <f>3*Q69</f>
        <v>0</v>
      </c>
      <c r="T69" s="105" t="e">
        <f>(Q69*V69*S69)/(V69*S69+Q69)</f>
        <v>#DIV/0!</v>
      </c>
      <c r="U69" s="105" t="e">
        <f>(P69*V69*R69)/(V69*R69+P69)</f>
        <v>#DIV/0!</v>
      </c>
      <c r="V69" s="105">
        <f>IF(ABS('Chemical Properties'!E63)&gt;0,'Chemical Properties'!E63,'Chemical Properties'!E26)/($F$5*($B$5+273.15))</f>
        <v>0</v>
      </c>
      <c r="W69" s="105" t="e">
        <f>(T69*$B$10+U69*$F$8)/$B$4</f>
        <v>#DIV/0!</v>
      </c>
      <c r="X69" s="105" t="e">
        <f>(W69*$B$4+$N$78*V69+$B$12*AA69*$B$15+($B$7-$B$12))/$B$7</f>
        <v>#DIV/0!</v>
      </c>
      <c r="Y69" s="105" t="e">
        <f>((IF(ABS('Chemical Properties'!J63)&gt;0,'Chemical Properties'!J63,'Chemical Properties'!J26)/$B$7)*(W69*$B$4+$N$78*V69+$B$12*AA69*$B$15+($B$7-$B$12))+((IF(ABS('Chemical Properties'!I63)&gt;0,'Chemical Properties'!I63,'Chemical Properties'!I26)*$B$9*$B$4*$B$8)/$B$7)-B42)</f>
        <v>#DIV/0!</v>
      </c>
      <c r="Z69" s="105">
        <f>-IF(ABS('Chemical Properties'!J63)&gt;0,'Chemical Properties'!J63,'Chemical Properties'!J26)*B42</f>
        <v>0</v>
      </c>
      <c r="AA69" s="105">
        <f>0.000001*$F$11*'Chemical Properties'!N26</f>
        <v>1.5794793046647064E-7</v>
      </c>
      <c r="AB69" s="88"/>
    </row>
    <row r="70" spans="13:28">
      <c r="M70" s="81" t="s">
        <v>60</v>
      </c>
      <c r="N70" s="105" t="e">
        <f>$F$3/($F$4*IF(ABS('Chemical Properties'!F64)&gt;0,'Chemical Properties'!F64,'Chemical Properties'!F27))</f>
        <v>#DIV/0!</v>
      </c>
      <c r="O70" s="105" t="e">
        <f>$F$6/($F$7*IF(ABS('Chemical Properties'!G64)&gt;0,'Chemical Properties'!G64,'Chemical Properties'!G27))</f>
        <v>#DIV/0!</v>
      </c>
      <c r="P70" s="105" t="e">
        <f>IF($N$43&lt;3.25,0.00000278*(IF(ABS('Chemical Properties'!F64)&gt;0,'Chemical Properties'!F64,'Chemical Properties'!F27)/$F$12)^(2/3),IF($N$80&lt;14,IF($N$82&lt;0.3,0.000001+0.0144*$N$82^2.2*N70^(-0.5),0.000001+0.00341*$N$82*N70^(-0.5)),IF($N$80&lt;=51.2,(0.000000002605*$N$80+0.0000001277)*$N$43^2*(IF(ABS('Chemical Properties'!F64)&gt;0,'Chemical Properties'!F64,'Chemical Properties'!F27)/$F$12)^(2/3),0.000000261*$N$43^2*(IF(ABS('Chemical Properties'!F64)&gt;0,'Chemical Properties'!F64,'Chemical Properties'!F27)/$F$12)^(2/3))))</f>
        <v>#DIV/0!</v>
      </c>
      <c r="Q70" s="71">
        <f>($N$83*((IF(ABS('Chemical Properties'!F64)&gt;0,'Chemical Properties'!F64,'Chemical Properties'!F27))/0.0000693)^(0.5))/$N$84</f>
        <v>0</v>
      </c>
      <c r="R70" s="105" t="e">
        <f t="shared" si="3"/>
        <v>#DIV/0!</v>
      </c>
      <c r="S70" s="72">
        <f>3*Q70</f>
        <v>0</v>
      </c>
      <c r="T70" s="105" t="e">
        <f>(Q70*V70*S70)/(V70*S70+Q70)</f>
        <v>#DIV/0!</v>
      </c>
      <c r="U70" s="105" t="e">
        <f>(P70*V70*R70)/(V70*R70+P70)</f>
        <v>#DIV/0!</v>
      </c>
      <c r="V70" s="105">
        <f>IF(ABS('Chemical Properties'!E64)&gt;0,'Chemical Properties'!E64,'Chemical Properties'!E27)/($F$5*($B$5+273.15))</f>
        <v>0</v>
      </c>
      <c r="W70" s="105" t="e">
        <f>(T70*$B$10+U70*$F$8)/$B$4</f>
        <v>#DIV/0!</v>
      </c>
      <c r="X70" s="105" t="e">
        <f>(W70*$B$4+$N$78*V70+$B$12*AA70*$B$15+($B$7-$B$12))/$B$7</f>
        <v>#DIV/0!</v>
      </c>
      <c r="Y70" s="105" t="e">
        <f>((IF(ABS('Chemical Properties'!J64)&gt;0,'Chemical Properties'!J64,'Chemical Properties'!J27)/$B$7)*(W70*$B$4+$N$78*V70+$B$12*AA70*$B$15+($B$7-$B$12))+((IF(ABS('Chemical Properties'!I64)&gt;0,'Chemical Properties'!I64,'Chemical Properties'!I27)*$B$9*$B$4*$B$8)/$B$7)-B43)</f>
        <v>#DIV/0!</v>
      </c>
      <c r="Z70" s="105">
        <f>-IF(ABS('Chemical Properties'!J64)&gt;0,'Chemical Properties'!J64,'Chemical Properties'!J27)*B43</f>
        <v>0</v>
      </c>
      <c r="AA70" s="105">
        <f>0.000001*$F$11*'Chemical Properties'!N27</f>
        <v>1.5794793046647064E-7</v>
      </c>
      <c r="AB70" s="88"/>
    </row>
    <row r="71" spans="13:28">
      <c r="M71" s="65" t="s">
        <v>61</v>
      </c>
      <c r="N71" s="105" t="e">
        <f>$F$3/($F$4*IF(ABS('Chemical Properties'!F65)&gt;0,'Chemical Properties'!F65,'Chemical Properties'!F28))</f>
        <v>#DIV/0!</v>
      </c>
      <c r="O71" s="105" t="e">
        <f>$F$6/($F$7*IF(ABS('Chemical Properties'!G65)&gt;0,'Chemical Properties'!G65,'Chemical Properties'!G28))</f>
        <v>#DIV/0!</v>
      </c>
      <c r="P71" s="105" t="e">
        <f>IF($N$43&lt;3.25,0.00000278*(IF(ABS('Chemical Properties'!F65)&gt;0,'Chemical Properties'!F65,'Chemical Properties'!F28)/$F$12)^(2/3),IF($N$80&lt;14,IF($N$82&lt;0.3,0.000001+0.0144*$N$82^2.2*N71^(-0.5),0.000001+0.00341*$N$82*N71^(-0.5)),IF($N$80&lt;=51.2,(0.000000002605*$N$80+0.0000001277)*$N$43^2*(IF(ABS('Chemical Properties'!F65)&gt;0,'Chemical Properties'!F65,'Chemical Properties'!F28)/$F$12)^(2/3),0.000000261*$N$43^2*(IF(ABS('Chemical Properties'!F65)&gt;0,'Chemical Properties'!F65,'Chemical Properties'!F28)/$F$12)^(2/3))))</f>
        <v>#DIV/0!</v>
      </c>
      <c r="Q71" s="71">
        <f>($N$83*((IF(ABS('Chemical Properties'!F65)&gt;0,'Chemical Properties'!F65,'Chemical Properties'!F28))/0.0000693)^(0.5))/$N$84</f>
        <v>0</v>
      </c>
      <c r="R71" s="105" t="e">
        <f t="shared" si="3"/>
        <v>#DIV/0!</v>
      </c>
      <c r="S71" s="72">
        <f>3*Q71</f>
        <v>0</v>
      </c>
      <c r="T71" s="105" t="e">
        <f>(Q71*V71*S71)/(V71*S71+Q71)</f>
        <v>#DIV/0!</v>
      </c>
      <c r="U71" s="105" t="e">
        <f>(P71*V71*R71)/(V71*R71+P71)</f>
        <v>#DIV/0!</v>
      </c>
      <c r="V71" s="105">
        <f>IF(ABS('Chemical Properties'!E65)&gt;0,'Chemical Properties'!E65,'Chemical Properties'!E28)/($F$5*($B$5+273.15))</f>
        <v>0</v>
      </c>
      <c r="W71" s="105" t="e">
        <f>(T71*$B$10+U71*$F$8)/$B$4</f>
        <v>#DIV/0!</v>
      </c>
      <c r="X71" s="105" t="e">
        <f>(W71*$B$4+$N$78*V71+$B$12*AA71*$B$15+($B$7-$B$12))/$B$7</f>
        <v>#DIV/0!</v>
      </c>
      <c r="Y71" s="105" t="e">
        <f>((IF(ABS('Chemical Properties'!J65)&gt;0,'Chemical Properties'!J65,'Chemical Properties'!J28)/$B$7)*(W71*$B$4+$N$78*V71+$B$12*AA71*$B$15+($B$7-$B$12))+((IF(ABS('Chemical Properties'!I65)&gt;0,'Chemical Properties'!I65,'Chemical Properties'!I28)*$B$9*$B$4*$B$8)/$B$7)-B44)</f>
        <v>#DIV/0!</v>
      </c>
      <c r="Z71" s="105">
        <f>-IF(ABS('Chemical Properties'!J65)&gt;0,'Chemical Properties'!J65,'Chemical Properties'!J28)*B44</f>
        <v>0</v>
      </c>
      <c r="AA71" s="105">
        <f>0.000001*$F$11*'Chemical Properties'!N28</f>
        <v>1.5794793046647064E-7</v>
      </c>
      <c r="AB71" s="88"/>
    </row>
    <row r="72" spans="13:28">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Properties'!F29)/$F$12)^(2/3),IF($N$80&lt;14,IF($N$82&lt;0.3,0.000001+0.0144*$N$82^2.2*N72^(-0.5),0.000001+0.00341*$N$82*N72^(-0.5)),IF($N$80&lt;=51.2,(0.000000002605*$N$80+0.0000001277)*$N$43^2*(IF(ABS('Chemical Properties'!F66)&gt;0,'Chemical Properties'!F66,'Chemical Properties'!F29)/$F$12)^(2/3),0.000000261*$N$43^2*(IF(ABS('Chemical Properties'!F66)&gt;0,'Chemical Properties'!F66,'Chemical Properties'!F29)/$F$12)^(2/3))))</f>
        <v>6.8240400082935059E-6</v>
      </c>
      <c r="Q72" s="71">
        <f>($N$83*((IF(ABS('Chemical Properties'!F66)&gt;0,'Chemical Properties'!F66,'Chemical Properties'!F29))/0.0000693)^(0.5))/$N$84</f>
        <v>6.134758833285152E-5</v>
      </c>
      <c r="R72" s="105">
        <f t="shared" si="3"/>
        <v>7.8113637605778654E-3</v>
      </c>
      <c r="S72" s="72">
        <f>3*Q72</f>
        <v>1.8404276499855456E-4</v>
      </c>
      <c r="T72" s="105">
        <f>(Q72*V72*S72)/(V72*S72+Q72)</f>
        <v>6.0825172345633534E-5</v>
      </c>
      <c r="U72" s="105">
        <f>(P72*V72*R72)/(V72*R72+P72)</f>
        <v>6.8238864048839215E-6</v>
      </c>
      <c r="V72" s="105">
        <f>IF(ABS('Chemical Properties'!E66)&gt;0,'Chemical Properties'!E66,'Chemical Properties'!E29)/($F$5*($B$5+273.15))</f>
        <v>38.810177989604185</v>
      </c>
      <c r="W72" s="105">
        <f>(T72*$B$10+U72*$F$8)/$B$4</f>
        <v>2.8865227605189886E-5</v>
      </c>
      <c r="X72" s="105">
        <f>(W72*$B$4+$N$78*V72+$B$12*AA72*$B$15+($B$7-$B$12))/$B$7</f>
        <v>178.97291777151554</v>
      </c>
      <c r="Y72" s="105">
        <f>((IF(ABS('Chemical Properties'!J66)&gt;0,'Chemical Properties'!J66,'Chemical Properties'!J29)/$B$7)*(W72*$B$4+$N$78*V72+$B$12*AA72*$B$15+($B$7-$B$12))+((IF(ABS('Chemical Properties'!I66)&gt;0,'Chemical Properties'!I66,'Chemical Properties'!I29)*$B$9*$B$4*$B$8)/$B$7)-B45)</f>
        <v>1974.1708019296068</v>
      </c>
      <c r="Z72" s="105">
        <f>-IF(ABS('Chemical Properties'!J66)&gt;0,'Chemical Properties'!J66,'Chemical Properties'!J29)*B45</f>
        <v>0</v>
      </c>
      <c r="AA72" s="105">
        <f>0.000001*$F$11*'Chemical Properties'!N29</f>
        <v>1.226066256020671E-4</v>
      </c>
      <c r="AB72" s="88"/>
    </row>
    <row r="73" spans="13:28">
      <c r="AB73" s="88"/>
    </row>
    <row r="74" spans="13:28">
      <c r="M74" s="91"/>
      <c r="N74" s="107"/>
      <c r="O74" s="107"/>
      <c r="P74" s="107"/>
      <c r="Q74" s="55"/>
      <c r="R74" s="107"/>
      <c r="S74" s="222"/>
      <c r="T74" s="107"/>
      <c r="U74" s="107"/>
      <c r="V74" s="107"/>
      <c r="W74" s="107"/>
      <c r="X74" s="107"/>
      <c r="Y74" s="107"/>
      <c r="Z74" s="107"/>
      <c r="AA74" s="107"/>
      <c r="AB74" s="88"/>
    </row>
    <row r="75" spans="13:28">
      <c r="M75" s="55"/>
      <c r="N75" s="107"/>
      <c r="O75" s="107"/>
      <c r="P75" s="107"/>
      <c r="Q75" s="107"/>
      <c r="R75" s="107"/>
      <c r="S75" s="107"/>
      <c r="T75" s="106"/>
      <c r="U75" s="106"/>
      <c r="V75" s="106"/>
      <c r="W75" s="106"/>
    </row>
    <row r="76" spans="13:28">
      <c r="M76" s="55"/>
      <c r="N76" s="107"/>
      <c r="O76" s="107"/>
      <c r="P76" s="107"/>
      <c r="Q76" s="107"/>
      <c r="R76" s="107"/>
      <c r="S76" s="107"/>
      <c r="T76" s="106"/>
      <c r="U76" s="106"/>
      <c r="V76" s="106"/>
      <c r="W76" s="106"/>
    </row>
    <row r="77" spans="13:28">
      <c r="M77" s="55"/>
      <c r="N77" s="107"/>
      <c r="O77" s="107"/>
      <c r="P77" s="107"/>
      <c r="Q77" s="107"/>
      <c r="R77" s="107"/>
      <c r="S77" s="106"/>
      <c r="T77" s="106"/>
      <c r="U77" s="106"/>
      <c r="V77" s="106"/>
      <c r="W77" s="106"/>
    </row>
    <row r="78" spans="13:28" ht="14.25">
      <c r="M78" s="71" t="s">
        <v>170</v>
      </c>
      <c r="N78" s="105">
        <f>(((B11*(B16+14.696))/(B6*14.696))+B11)/2</f>
        <v>4.5847822536744687</v>
      </c>
      <c r="O78" s="107"/>
      <c r="P78" s="107"/>
      <c r="Q78" s="107"/>
      <c r="R78" s="107"/>
      <c r="S78" s="106"/>
      <c r="T78" s="106"/>
      <c r="U78" s="106"/>
      <c r="V78" s="106"/>
      <c r="W78" s="106"/>
    </row>
    <row r="79" spans="13:28" ht="15.75">
      <c r="M79" s="71" t="s">
        <v>53</v>
      </c>
      <c r="N79" s="105">
        <f>0.24*B4*10.758</f>
        <v>3162.8519999999999</v>
      </c>
      <c r="O79" s="107"/>
      <c r="P79" s="107"/>
      <c r="Q79" s="107"/>
      <c r="R79" s="107"/>
      <c r="S79" s="106"/>
      <c r="T79" s="106"/>
      <c r="U79" s="106"/>
      <c r="V79" s="106"/>
      <c r="W79" s="106"/>
    </row>
    <row r="80" spans="13:28">
      <c r="M80" s="71" t="s">
        <v>54</v>
      </c>
      <c r="N80" s="108">
        <f>(2*($B$4/PI())^(0.5))/$B$8</f>
        <v>5.6418958354775635</v>
      </c>
      <c r="O80" s="107"/>
      <c r="P80" s="107"/>
      <c r="Q80" s="107"/>
      <c r="R80" s="107"/>
      <c r="S80" s="106"/>
      <c r="T80" s="106"/>
      <c r="U80" s="106"/>
      <c r="V80" s="106"/>
      <c r="W80" s="106"/>
    </row>
    <row r="81" spans="13:23">
      <c r="M81" s="71" t="s">
        <v>55</v>
      </c>
      <c r="N81" s="108">
        <f>2*(B4/3.14)^(0.5)</f>
        <v>39.503285358817024</v>
      </c>
      <c r="O81" s="107"/>
      <c r="P81" s="107"/>
      <c r="Q81" s="107"/>
      <c r="R81" s="107"/>
      <c r="S81" s="106"/>
      <c r="T81" s="106"/>
      <c r="U81" s="106"/>
      <c r="V81" s="106"/>
      <c r="W81" s="106"/>
    </row>
    <row r="82" spans="13:23">
      <c r="M82" s="71" t="s">
        <v>87</v>
      </c>
      <c r="N82" s="108">
        <f>0.01*$N$43*(6.1+0.63*$N$43)^0.5</f>
        <v>0.13347348144481735</v>
      </c>
      <c r="O82" s="107"/>
      <c r="P82" s="107"/>
      <c r="Q82" s="107"/>
      <c r="R82" s="107"/>
      <c r="S82" s="106"/>
      <c r="T82" s="106"/>
      <c r="U82" s="106"/>
      <c r="V82" s="106"/>
      <c r="W82" s="106"/>
    </row>
    <row r="83" spans="13:23" ht="15.75">
      <c r="M83" s="71" t="s">
        <v>172</v>
      </c>
      <c r="N83" s="71">
        <f>IF($B$10=0,0.08/3600,(0.08+0.012*(N78/B10)^0.4)/3600)</f>
        <v>2.2732513598885235E-5</v>
      </c>
      <c r="O83" s="106"/>
      <c r="P83" s="106"/>
      <c r="Q83" s="106"/>
      <c r="R83" s="106"/>
      <c r="S83" s="106"/>
      <c r="T83" s="106"/>
      <c r="U83" s="106"/>
      <c r="V83" s="106"/>
      <c r="W83" s="106"/>
    </row>
    <row r="84" spans="13:23" ht="14.25">
      <c r="M84" s="71" t="s">
        <v>171</v>
      </c>
      <c r="N84" s="71">
        <f>B4/(B4*B8)</f>
        <v>0.14285714285714285</v>
      </c>
      <c r="O84" s="106"/>
      <c r="P84" s="106"/>
      <c r="Q84" s="106"/>
      <c r="R84" s="106"/>
      <c r="S84" s="106"/>
      <c r="T84" s="106"/>
      <c r="U84" s="106"/>
      <c r="V84" s="106"/>
      <c r="W84" s="106"/>
    </row>
    <row r="85" spans="13:23" ht="15.75">
      <c r="M85" s="71" t="s">
        <v>173</v>
      </c>
      <c r="N85" s="71">
        <f>N83/N84</f>
        <v>1.5912759519219665E-4</v>
      </c>
    </row>
    <row r="87" spans="13:23">
      <c r="M87" s="307" t="s">
        <v>159</v>
      </c>
      <c r="N87" s="307"/>
      <c r="O87" s="307"/>
      <c r="P87" s="307"/>
      <c r="Q87" s="307"/>
      <c r="R87" s="307"/>
      <c r="S87" s="307"/>
      <c r="T87" s="307"/>
      <c r="U87" s="147"/>
      <c r="V87" s="147"/>
      <c r="W87" s="147"/>
    </row>
    <row r="88" spans="13:23" ht="25.5">
      <c r="M88" s="128" t="s">
        <v>153</v>
      </c>
      <c r="N88" s="143" t="s">
        <v>155</v>
      </c>
      <c r="O88" s="129" t="s">
        <v>156</v>
      </c>
      <c r="P88" s="129" t="s">
        <v>157</v>
      </c>
      <c r="Q88" s="144" t="s">
        <v>175</v>
      </c>
      <c r="R88" s="144" t="s">
        <v>177</v>
      </c>
      <c r="S88" s="145" t="s">
        <v>158</v>
      </c>
      <c r="T88" s="145" t="s">
        <v>154</v>
      </c>
      <c r="U88" s="146" t="s">
        <v>178</v>
      </c>
      <c r="V88" s="146" t="s">
        <v>176</v>
      </c>
      <c r="W88" s="150" t="s">
        <v>179</v>
      </c>
    </row>
    <row r="89" spans="13:23">
      <c r="M89" s="60" t="s">
        <v>17</v>
      </c>
      <c r="N89" s="72">
        <f t="shared" ref="N89:N110" si="9">$B$7*B20</f>
        <v>1</v>
      </c>
      <c r="O89" s="127">
        <f>M3*($B$7-$B$12)</f>
        <v>0.41204316555519938</v>
      </c>
      <c r="P89" s="127">
        <f>K3</f>
        <v>8.2679543293897174E-4</v>
      </c>
      <c r="Q89" s="127">
        <f t="shared" ref="Q89:Q110" si="10">$B$12*M3*AA47*$B$15</f>
        <v>3.050445879845452E-7</v>
      </c>
      <c r="R89" s="127">
        <f>($B$4*$B$8)*(IF(ABS('Chemical Properties'!I41)&gt;0,'Chemical Properties'!I41,'Chemical Properties'!I4))*$B$9*M3/(IF(ABS('Chemical Properties'!J41)&gt;0,'Chemical Properties'!J41,'Chemical Properties'!J4)+M3)</f>
        <v>0.58712973396725954</v>
      </c>
      <c r="S89" s="130">
        <f t="shared" ref="S89:S110" si="11">O89/N89*100</f>
        <v>41.204316555519938</v>
      </c>
      <c r="T89" s="130">
        <f t="shared" ref="T89:T110" si="12">P89/N89*100</f>
        <v>8.2679543293897179E-2</v>
      </c>
      <c r="U89" s="130">
        <f t="shared" ref="U89:U110" si="13">R89/N89*100</f>
        <v>58.712973396725957</v>
      </c>
      <c r="V89" s="142">
        <f t="shared" ref="V89:V110" si="14">Q89/N89*100</f>
        <v>3.0504458798454521E-5</v>
      </c>
      <c r="W89" s="130">
        <f>(O89+P89+Q89+R89)/N89*100</f>
        <v>99.999999999998579</v>
      </c>
    </row>
    <row r="90" spans="13:23">
      <c r="M90" s="62" t="s">
        <v>6</v>
      </c>
      <c r="N90" s="72">
        <f t="shared" si="9"/>
        <v>1</v>
      </c>
      <c r="O90" s="127">
        <f t="shared" ref="O90:O110" si="15">M4*($B$7-$B$12)</f>
        <v>8.3172094782235681E-2</v>
      </c>
      <c r="P90" s="127">
        <f t="shared" ref="P90:P110" si="16">K4</f>
        <v>8.846881461458396E-2</v>
      </c>
      <c r="Q90" s="127">
        <f t="shared" si="10"/>
        <v>4.2598886687887374E-5</v>
      </c>
      <c r="R90" s="127">
        <f>($B$4*$B$8)*(IF(ABS('Chemical Properties'!I42)&gt;0,'Chemical Properties'!I42,'Chemical Properties'!I5))*$B$9*M4/(IF(ABS('Chemical Properties'!J42)&gt;0,'Chemical Properties'!J42,'Chemical Properties'!J5)+M4)</f>
        <v>0.82831649171654342</v>
      </c>
      <c r="S90" s="130">
        <f t="shared" si="11"/>
        <v>8.3172094782235675</v>
      </c>
      <c r="T90" s="130">
        <f t="shared" si="12"/>
        <v>8.8468814614583966</v>
      </c>
      <c r="U90" s="130">
        <f t="shared" si="13"/>
        <v>82.831649171654348</v>
      </c>
      <c r="V90" s="142">
        <f t="shared" si="14"/>
        <v>4.2598886687887378E-3</v>
      </c>
      <c r="W90" s="130">
        <f t="shared" ref="W90:W110" si="17">(O90+P90+Q90+R90)/N90*100</f>
        <v>100.0000000000051</v>
      </c>
    </row>
    <row r="91" spans="13:23">
      <c r="M91" s="62" t="s">
        <v>13</v>
      </c>
      <c r="N91" s="72">
        <f t="shared" si="9"/>
        <v>1</v>
      </c>
      <c r="O91" s="127">
        <f t="shared" si="15"/>
        <v>7.6532821527640599E-2</v>
      </c>
      <c r="P91" s="127">
        <f t="shared" si="16"/>
        <v>0.43613953830719304</v>
      </c>
      <c r="Q91" s="127">
        <f t="shared" si="10"/>
        <v>2.9058174935217776E-5</v>
      </c>
      <c r="R91" s="127">
        <f>($B$4*$B$8)*(IF(ABS('Chemical Properties'!I43)&gt;0,'Chemical Properties'!I43,'Chemical Properties'!I6))*$B$9*M5/(IF(ABS('Chemical Properties'!J43)&gt;0,'Chemical Properties'!J43,'Chemical Properties'!J6)+M5)</f>
        <v>0.48729858199021403</v>
      </c>
      <c r="S91" s="130">
        <f t="shared" si="11"/>
        <v>7.65328215276406</v>
      </c>
      <c r="T91" s="130">
        <f t="shared" si="12"/>
        <v>43.613953830719304</v>
      </c>
      <c r="U91" s="130">
        <f t="shared" si="13"/>
        <v>48.7298581990214</v>
      </c>
      <c r="V91" s="142">
        <f t="shared" si="14"/>
        <v>2.9058174935217775E-3</v>
      </c>
      <c r="W91" s="130">
        <f t="shared" si="17"/>
        <v>99.999999999998295</v>
      </c>
    </row>
    <row r="92" spans="13:23">
      <c r="M92" s="60" t="s">
        <v>69</v>
      </c>
      <c r="N92" s="72">
        <f t="shared" si="9"/>
        <v>1</v>
      </c>
      <c r="O92" s="127">
        <f t="shared" si="15"/>
        <v>0.41877385541481993</v>
      </c>
      <c r="P92" s="127">
        <f t="shared" si="16"/>
        <v>5.8980685536624252E-3</v>
      </c>
      <c r="Q92" s="127">
        <f t="shared" si="10"/>
        <v>3.0297037854439791E-6</v>
      </c>
      <c r="R92" s="127">
        <f>($B$4*$B$8)*(IF(ABS('Chemical Properties'!I44)&gt;0,'Chemical Properties'!I44,'Chemical Properties'!I7))*$B$9*M6/(IF(ABS('Chemical Properties'!J44)&gt;0,'Chemical Properties'!J44,'Chemical Properties'!J7)+M6)</f>
        <v>0.57532504632773374</v>
      </c>
      <c r="S92" s="130">
        <f t="shared" si="11"/>
        <v>41.877385541481992</v>
      </c>
      <c r="T92" s="130">
        <f t="shared" si="12"/>
        <v>0.58980685536624256</v>
      </c>
      <c r="U92" s="130">
        <f t="shared" si="13"/>
        <v>57.532504632773374</v>
      </c>
      <c r="V92" s="142">
        <f t="shared" si="14"/>
        <v>3.0297037854439793E-4</v>
      </c>
      <c r="W92" s="130">
        <f t="shared" si="17"/>
        <v>100.00000000000016</v>
      </c>
    </row>
    <row r="93" spans="13:23">
      <c r="M93" s="62" t="s">
        <v>9</v>
      </c>
      <c r="N93" s="72">
        <f t="shared" si="9"/>
        <v>1</v>
      </c>
      <c r="O93" s="127">
        <f t="shared" si="15"/>
        <v>0.12133349714880391</v>
      </c>
      <c r="P93" s="127">
        <f t="shared" si="16"/>
        <v>1.1670612891270469E-2</v>
      </c>
      <c r="Q93" s="127">
        <f t="shared" si="10"/>
        <v>1.0553616886587367E-3</v>
      </c>
      <c r="R93" s="127">
        <f>($B$4*$B$8)*(IF(ABS('Chemical Properties'!I45)&gt;0,'Chemical Properties'!I45,'Chemical Properties'!I8))*$B$9*M7/(IF(ABS('Chemical Properties'!J45)&gt;0,'Chemical Properties'!J45,'Chemical Properties'!J8)+M7)</f>
        <v>0.86594052827126144</v>
      </c>
      <c r="S93" s="130">
        <f t="shared" si="11"/>
        <v>12.13334971488039</v>
      </c>
      <c r="T93" s="130">
        <f t="shared" si="12"/>
        <v>1.1670612891270469</v>
      </c>
      <c r="U93" s="130">
        <f t="shared" si="13"/>
        <v>86.594052827126148</v>
      </c>
      <c r="V93" s="142">
        <f t="shared" si="14"/>
        <v>0.10553616886587366</v>
      </c>
      <c r="W93" s="130">
        <f t="shared" si="17"/>
        <v>99.99999999999946</v>
      </c>
    </row>
    <row r="94" spans="13:23">
      <c r="M94" s="63" t="s">
        <v>7</v>
      </c>
      <c r="N94" s="72">
        <f t="shared" si="9"/>
        <v>1</v>
      </c>
      <c r="O94" s="127">
        <f t="shared" si="15"/>
        <v>4.113129616328725E-2</v>
      </c>
      <c r="P94" s="127">
        <f t="shared" si="16"/>
        <v>0.11350492945785985</v>
      </c>
      <c r="Q94" s="127">
        <f t="shared" si="10"/>
        <v>5.9373548393136728E-4</v>
      </c>
      <c r="R94" s="127">
        <f>($B$4*$B$8)*(IF(ABS('Chemical Properties'!I46)&gt;0,'Chemical Properties'!I46,'Chemical Properties'!I9))*$B$9*M8/(IF(ABS('Chemical Properties'!J46)&gt;0,'Chemical Properties'!J46,'Chemical Properties'!J9)+M8)</f>
        <v>0.8447700388948991</v>
      </c>
      <c r="S94" s="130">
        <f t="shared" si="11"/>
        <v>4.1131296163287248</v>
      </c>
      <c r="T94" s="130">
        <f t="shared" si="12"/>
        <v>11.350492945785986</v>
      </c>
      <c r="U94" s="130">
        <f t="shared" si="13"/>
        <v>84.477003889489907</v>
      </c>
      <c r="V94" s="142">
        <f t="shared" si="14"/>
        <v>5.937354839313673E-2</v>
      </c>
      <c r="W94" s="130">
        <f t="shared" si="17"/>
        <v>99.999999999997755</v>
      </c>
    </row>
    <row r="95" spans="13:23">
      <c r="M95" s="62" t="s">
        <v>8</v>
      </c>
      <c r="N95" s="72">
        <f t="shared" si="9"/>
        <v>1</v>
      </c>
      <c r="O95" s="127">
        <f t="shared" si="15"/>
        <v>5.7914431766914555E-2</v>
      </c>
      <c r="P95" s="127">
        <f t="shared" si="16"/>
        <v>8.6630032913542973E-2</v>
      </c>
      <c r="Q95" s="127">
        <f t="shared" si="10"/>
        <v>3.0353404453003726E-4</v>
      </c>
      <c r="R95" s="127">
        <f>($B$4*$B$8)*(IF(ABS('Chemical Properties'!I47)&gt;0,'Chemical Properties'!I47,'Chemical Properties'!I10))*$B$9*M9/(IF(ABS('Chemical Properties'!J47)&gt;0,'Chemical Properties'!J47,'Chemical Properties'!J10)+M9)</f>
        <v>0.85515200127501001</v>
      </c>
      <c r="S95" s="130">
        <f t="shared" si="11"/>
        <v>5.7914431766914554</v>
      </c>
      <c r="T95" s="130">
        <f t="shared" si="12"/>
        <v>8.6630032913542969</v>
      </c>
      <c r="U95" s="130">
        <f t="shared" si="13"/>
        <v>85.515200127501004</v>
      </c>
      <c r="V95" s="142">
        <f t="shared" si="14"/>
        <v>3.0353404453003725E-2</v>
      </c>
      <c r="W95" s="130">
        <f t="shared" si="17"/>
        <v>99.999999999999758</v>
      </c>
    </row>
    <row r="96" spans="13:23">
      <c r="M96" s="62" t="s">
        <v>11</v>
      </c>
      <c r="N96" s="72">
        <f t="shared" si="9"/>
        <v>0</v>
      </c>
      <c r="O96" s="127">
        <f t="shared" si="15"/>
        <v>0</v>
      </c>
      <c r="P96" s="127">
        <f t="shared" si="16"/>
        <v>0</v>
      </c>
      <c r="Q96" s="127">
        <f t="shared" si="10"/>
        <v>0</v>
      </c>
      <c r="R96" s="127">
        <f>($B$4*$B$8)*(IF(ABS('Chemical Properties'!I48)&gt;0,'Chemical Properties'!I48,'Chemical Properties'!I11))*$B$9*M10/(IF(ABS('Chemical Properties'!J48)&gt;0,'Chemical Properties'!J48,'Chemical Properties'!J11)+M10)</f>
        <v>0</v>
      </c>
      <c r="S96" s="130" t="e">
        <f t="shared" si="11"/>
        <v>#DIV/0!</v>
      </c>
      <c r="T96" s="130" t="e">
        <f t="shared" si="12"/>
        <v>#DIV/0!</v>
      </c>
      <c r="U96" s="130" t="e">
        <f t="shared" si="13"/>
        <v>#DIV/0!</v>
      </c>
      <c r="V96" s="142" t="e">
        <f t="shared" si="14"/>
        <v>#DIV/0!</v>
      </c>
      <c r="W96" s="130" t="e">
        <f t="shared" si="17"/>
        <v>#DIV/0!</v>
      </c>
    </row>
    <row r="97" spans="13:23">
      <c r="M97" s="63" t="s">
        <v>70</v>
      </c>
      <c r="N97" s="72">
        <f t="shared" si="9"/>
        <v>0</v>
      </c>
      <c r="O97" s="127">
        <f t="shared" si="15"/>
        <v>0</v>
      </c>
      <c r="P97" s="127">
        <f t="shared" si="16"/>
        <v>0</v>
      </c>
      <c r="Q97" s="127">
        <f t="shared" si="10"/>
        <v>0</v>
      </c>
      <c r="R97" s="127">
        <f>($B$4*$B$8)*(IF(ABS('Chemical Properties'!I49)&gt;0,'Chemical Properties'!I49,'Chemical Properties'!I12))*$B$9*M11/(IF(ABS('Chemical Properties'!J49)&gt;0,'Chemical Properties'!J49,'Chemical Properties'!J12)+M11)</f>
        <v>0</v>
      </c>
      <c r="S97" s="130" t="e">
        <f t="shared" si="11"/>
        <v>#DIV/0!</v>
      </c>
      <c r="T97" s="130" t="e">
        <f t="shared" si="12"/>
        <v>#DIV/0!</v>
      </c>
      <c r="U97" s="130" t="e">
        <f t="shared" si="13"/>
        <v>#DIV/0!</v>
      </c>
      <c r="V97" s="142" t="e">
        <f t="shared" si="14"/>
        <v>#DIV/0!</v>
      </c>
      <c r="W97" s="130" t="e">
        <f t="shared" si="17"/>
        <v>#DIV/0!</v>
      </c>
    </row>
    <row r="98" spans="13:23">
      <c r="M98" s="63" t="s">
        <v>16</v>
      </c>
      <c r="N98" s="72">
        <f t="shared" si="9"/>
        <v>0</v>
      </c>
      <c r="O98" s="127">
        <f t="shared" si="15"/>
        <v>0</v>
      </c>
      <c r="P98" s="127">
        <f t="shared" si="16"/>
        <v>0</v>
      </c>
      <c r="Q98" s="127">
        <f t="shared" si="10"/>
        <v>0</v>
      </c>
      <c r="R98" s="127">
        <f>($B$4*$B$8)*(IF(ABS('Chemical Properties'!I50)&gt;0,'Chemical Properties'!I50,'Chemical Properties'!I13))*$B$9*M12/(IF(ABS('Chemical Properties'!J50)&gt;0,'Chemical Properties'!J50,'Chemical Properties'!J13)+M12)</f>
        <v>0</v>
      </c>
      <c r="S98" s="130" t="e">
        <f t="shared" si="11"/>
        <v>#DIV/0!</v>
      </c>
      <c r="T98" s="130" t="e">
        <f t="shared" si="12"/>
        <v>#DIV/0!</v>
      </c>
      <c r="U98" s="130" t="e">
        <f t="shared" si="13"/>
        <v>#DIV/0!</v>
      </c>
      <c r="V98" s="142" t="e">
        <f t="shared" si="14"/>
        <v>#DIV/0!</v>
      </c>
      <c r="W98" s="130" t="e">
        <f t="shared" si="17"/>
        <v>#DIV/0!</v>
      </c>
    </row>
    <row r="99" spans="13:23">
      <c r="M99" s="60" t="s">
        <v>71</v>
      </c>
      <c r="N99" s="72">
        <f t="shared" si="9"/>
        <v>0</v>
      </c>
      <c r="O99" s="127">
        <f t="shared" si="15"/>
        <v>0</v>
      </c>
      <c r="P99" s="127">
        <f t="shared" si="16"/>
        <v>0</v>
      </c>
      <c r="Q99" s="127">
        <f t="shared" si="10"/>
        <v>0</v>
      </c>
      <c r="R99" s="127">
        <f>($B$4*$B$8)*(IF(ABS('Chemical Properties'!I51)&gt;0,'Chemical Properties'!I51,'Chemical Properties'!I14))*$B$9*M13/(IF(ABS('Chemical Properties'!J51)&gt;0,'Chemical Properties'!J51,'Chemical Properties'!J14)+M13)</f>
        <v>0</v>
      </c>
      <c r="S99" s="130" t="e">
        <f t="shared" si="11"/>
        <v>#DIV/0!</v>
      </c>
      <c r="T99" s="130" t="e">
        <f t="shared" si="12"/>
        <v>#DIV/0!</v>
      </c>
      <c r="U99" s="130" t="e">
        <f t="shared" si="13"/>
        <v>#DIV/0!</v>
      </c>
      <c r="V99" s="142" t="e">
        <f t="shared" si="14"/>
        <v>#DIV/0!</v>
      </c>
      <c r="W99" s="130" t="e">
        <f t="shared" si="17"/>
        <v>#DIV/0!</v>
      </c>
    </row>
    <row r="100" spans="13:23">
      <c r="M100" s="62" t="s">
        <v>12</v>
      </c>
      <c r="N100" s="72">
        <f t="shared" si="9"/>
        <v>0</v>
      </c>
      <c r="O100" s="127">
        <f t="shared" si="15"/>
        <v>0</v>
      </c>
      <c r="P100" s="127">
        <f t="shared" si="16"/>
        <v>0</v>
      </c>
      <c r="Q100" s="127">
        <f t="shared" si="10"/>
        <v>0</v>
      </c>
      <c r="R100" s="127">
        <f>($B$4*$B$8)*(IF(ABS('Chemical Properties'!I52)&gt;0,'Chemical Properties'!I52,'Chemical Properties'!I15))*$B$9*M14/(IF(ABS('Chemical Properties'!J52)&gt;0,'Chemical Properties'!J52,'Chemical Properties'!J15)+M14)</f>
        <v>0</v>
      </c>
      <c r="S100" s="130" t="e">
        <f t="shared" si="11"/>
        <v>#DIV/0!</v>
      </c>
      <c r="T100" s="130" t="e">
        <f t="shared" si="12"/>
        <v>#DIV/0!</v>
      </c>
      <c r="U100" s="130" t="e">
        <f t="shared" si="13"/>
        <v>#DIV/0!</v>
      </c>
      <c r="V100" s="142" t="e">
        <f t="shared" si="14"/>
        <v>#DIV/0!</v>
      </c>
      <c r="W100" s="130" t="e">
        <f t="shared" si="17"/>
        <v>#DIV/0!</v>
      </c>
    </row>
    <row r="101" spans="13:23">
      <c r="M101" s="62" t="s">
        <v>10</v>
      </c>
      <c r="N101" s="72">
        <f t="shared" si="9"/>
        <v>0</v>
      </c>
      <c r="O101" s="127">
        <f t="shared" si="15"/>
        <v>0</v>
      </c>
      <c r="P101" s="127">
        <f t="shared" si="16"/>
        <v>0</v>
      </c>
      <c r="Q101" s="127">
        <f t="shared" si="10"/>
        <v>0</v>
      </c>
      <c r="R101" s="127">
        <f>($B$4*$B$8)*(IF(ABS('Chemical Properties'!I53)&gt;0,'Chemical Properties'!I53,'Chemical Properties'!I16))*$B$9*M15/(IF(ABS('Chemical Properties'!J53)&gt;0,'Chemical Properties'!J53,'Chemical Properties'!J16)+M15)</f>
        <v>0</v>
      </c>
      <c r="S101" s="130" t="e">
        <f t="shared" si="11"/>
        <v>#DIV/0!</v>
      </c>
      <c r="T101" s="130" t="e">
        <f t="shared" si="12"/>
        <v>#DIV/0!</v>
      </c>
      <c r="U101" s="130" t="e">
        <f t="shared" si="13"/>
        <v>#DIV/0!</v>
      </c>
      <c r="V101" s="142" t="e">
        <f t="shared" si="14"/>
        <v>#DIV/0!</v>
      </c>
      <c r="W101" s="130" t="e">
        <f t="shared" si="17"/>
        <v>#DIV/0!</v>
      </c>
    </row>
    <row r="102" spans="13:23">
      <c r="M102" s="63" t="s">
        <v>72</v>
      </c>
      <c r="N102" s="72">
        <f t="shared" si="9"/>
        <v>0</v>
      </c>
      <c r="O102" s="127">
        <f t="shared" si="15"/>
        <v>0</v>
      </c>
      <c r="P102" s="127">
        <f t="shared" si="16"/>
        <v>0</v>
      </c>
      <c r="Q102" s="127">
        <f t="shared" si="10"/>
        <v>0</v>
      </c>
      <c r="R102" s="127">
        <f>($B$4*$B$8)*(IF(ABS('Chemical Properties'!I54)&gt;0,'Chemical Properties'!I54,'Chemical Properties'!I17))*$B$9*M16/(IF(ABS('Chemical Properties'!J54)&gt;0,'Chemical Properties'!J54,'Chemical Properties'!J17)+M16)</f>
        <v>0</v>
      </c>
      <c r="S102" s="130" t="e">
        <f t="shared" si="11"/>
        <v>#DIV/0!</v>
      </c>
      <c r="T102" s="130" t="e">
        <f t="shared" si="12"/>
        <v>#DIV/0!</v>
      </c>
      <c r="U102" s="130" t="e">
        <f t="shared" si="13"/>
        <v>#DIV/0!</v>
      </c>
      <c r="V102" s="142" t="e">
        <f t="shared" si="14"/>
        <v>#DIV/0!</v>
      </c>
      <c r="W102" s="130" t="e">
        <f t="shared" si="17"/>
        <v>#DIV/0!</v>
      </c>
    </row>
    <row r="103" spans="13:23">
      <c r="M103" s="63" t="s">
        <v>73</v>
      </c>
      <c r="N103" s="72">
        <f t="shared" si="9"/>
        <v>0</v>
      </c>
      <c r="O103" s="127">
        <f t="shared" si="15"/>
        <v>0</v>
      </c>
      <c r="P103" s="127">
        <f t="shared" si="16"/>
        <v>0</v>
      </c>
      <c r="Q103" s="127">
        <f t="shared" si="10"/>
        <v>0</v>
      </c>
      <c r="R103" s="127">
        <f>($B$4*$B$8)*(IF(ABS('Chemical Properties'!I55)&gt;0,'Chemical Properties'!I55,'Chemical Properties'!I18))*$B$9*M17/(IF(ABS('Chemical Properties'!J55)&gt;0,'Chemical Properties'!J55,'Chemical Properties'!J18)+M17)</f>
        <v>0</v>
      </c>
      <c r="S103" s="130" t="e">
        <f t="shared" si="11"/>
        <v>#DIV/0!</v>
      </c>
      <c r="T103" s="130" t="e">
        <f t="shared" si="12"/>
        <v>#DIV/0!</v>
      </c>
      <c r="U103" s="130" t="e">
        <f t="shared" si="13"/>
        <v>#DIV/0!</v>
      </c>
      <c r="V103" s="142" t="e">
        <f t="shared" si="14"/>
        <v>#DIV/0!</v>
      </c>
      <c r="W103" s="130" t="e">
        <f t="shared" si="17"/>
        <v>#DIV/0!</v>
      </c>
    </row>
    <row r="104" spans="13:23">
      <c r="M104" s="64" t="s">
        <v>74</v>
      </c>
      <c r="N104" s="72">
        <f t="shared" si="9"/>
        <v>0</v>
      </c>
      <c r="O104" s="127">
        <f t="shared" si="15"/>
        <v>0</v>
      </c>
      <c r="P104" s="127">
        <f t="shared" si="16"/>
        <v>0</v>
      </c>
      <c r="Q104" s="127">
        <f t="shared" si="10"/>
        <v>0</v>
      </c>
      <c r="R104" s="127">
        <f>($B$4*$B$8)*(IF(ABS('Chemical Properties'!I56)&gt;0,'Chemical Properties'!I56,'Chemical Properties'!I19))*$B$9*M18/(IF(ABS('Chemical Properties'!J56)&gt;0,'Chemical Properties'!J56,'Chemical Properties'!J19)+M18)</f>
        <v>0</v>
      </c>
      <c r="S104" s="130" t="e">
        <f t="shared" si="11"/>
        <v>#DIV/0!</v>
      </c>
      <c r="T104" s="130" t="e">
        <f t="shared" si="12"/>
        <v>#DIV/0!</v>
      </c>
      <c r="U104" s="130" t="e">
        <f t="shared" si="13"/>
        <v>#DIV/0!</v>
      </c>
      <c r="V104" s="142" t="e">
        <f t="shared" si="14"/>
        <v>#DIV/0!</v>
      </c>
      <c r="W104" s="130" t="e">
        <f t="shared" si="17"/>
        <v>#DIV/0!</v>
      </c>
    </row>
    <row r="105" spans="13:23">
      <c r="M105" s="63" t="s">
        <v>75</v>
      </c>
      <c r="N105" s="72">
        <f t="shared" si="9"/>
        <v>0</v>
      </c>
      <c r="O105" s="127">
        <f t="shared" si="15"/>
        <v>0</v>
      </c>
      <c r="P105" s="127">
        <f t="shared" si="16"/>
        <v>0</v>
      </c>
      <c r="Q105" s="127">
        <f t="shared" si="10"/>
        <v>0</v>
      </c>
      <c r="R105" s="127">
        <f>($B$4*$B$8)*(IF(ABS('Chemical Properties'!I57)&gt;0,'Chemical Properties'!I57,'Chemical Properties'!I20))*$B$9*M19/(IF(ABS('Chemical Properties'!J57)&gt;0,'Chemical Properties'!J57,'Chemical Properties'!J20)+M19)</f>
        <v>0</v>
      </c>
      <c r="S105" s="130" t="e">
        <f t="shared" si="11"/>
        <v>#DIV/0!</v>
      </c>
      <c r="T105" s="130" t="e">
        <f t="shared" si="12"/>
        <v>#DIV/0!</v>
      </c>
      <c r="U105" s="130" t="e">
        <f t="shared" si="13"/>
        <v>#DIV/0!</v>
      </c>
      <c r="V105" s="142" t="e">
        <f t="shared" si="14"/>
        <v>#DIV/0!</v>
      </c>
      <c r="W105" s="130" t="e">
        <f t="shared" si="17"/>
        <v>#DIV/0!</v>
      </c>
    </row>
    <row r="106" spans="13:23">
      <c r="M106" s="64" t="s">
        <v>78</v>
      </c>
      <c r="N106" s="72">
        <f t="shared" si="9"/>
        <v>0</v>
      </c>
      <c r="O106" s="127">
        <f t="shared" si="15"/>
        <v>0</v>
      </c>
      <c r="P106" s="127">
        <f t="shared" si="16"/>
        <v>0</v>
      </c>
      <c r="Q106" s="127">
        <f t="shared" si="10"/>
        <v>0</v>
      </c>
      <c r="R106" s="127">
        <f>($B$4*$B$8)*(IF(ABS('Chemical Properties'!I58)&gt;0,'Chemical Properties'!I58,'Chemical Properties'!I21))*$B$9*M20/(IF(ABS('Chemical Properties'!J58)&gt;0,'Chemical Properties'!J58,'Chemical Properties'!J21)+M20)</f>
        <v>0</v>
      </c>
      <c r="S106" s="130" t="e">
        <f t="shared" si="11"/>
        <v>#DIV/0!</v>
      </c>
      <c r="T106" s="130" t="e">
        <f t="shared" si="12"/>
        <v>#DIV/0!</v>
      </c>
      <c r="U106" s="130" t="e">
        <f t="shared" si="13"/>
        <v>#DIV/0!</v>
      </c>
      <c r="V106" s="142" t="e">
        <f t="shared" si="14"/>
        <v>#DIV/0!</v>
      </c>
      <c r="W106" s="130" t="e">
        <f t="shared" si="17"/>
        <v>#DIV/0!</v>
      </c>
    </row>
    <row r="107" spans="13:23">
      <c r="M107" s="65" t="s">
        <v>14</v>
      </c>
      <c r="N107" s="72">
        <f t="shared" si="9"/>
        <v>0</v>
      </c>
      <c r="O107" s="127">
        <f t="shared" si="15"/>
        <v>0</v>
      </c>
      <c r="P107" s="127">
        <f t="shared" si="16"/>
        <v>0</v>
      </c>
      <c r="Q107" s="127">
        <f t="shared" si="10"/>
        <v>0</v>
      </c>
      <c r="R107" s="127">
        <f>($B$4*$B$8)*(IF(ABS('Chemical Properties'!I59)&gt;0,'Chemical Properties'!I59,'Chemical Properties'!I22))*$B$9*M21/(IF(ABS('Chemical Properties'!J59)&gt;0,'Chemical Properties'!J59,'Chemical Properties'!J22)+M21)</f>
        <v>0</v>
      </c>
      <c r="S107" s="130" t="e">
        <f t="shared" si="11"/>
        <v>#DIV/0!</v>
      </c>
      <c r="T107" s="130" t="e">
        <f t="shared" si="12"/>
        <v>#DIV/0!</v>
      </c>
      <c r="U107" s="130" t="e">
        <f t="shared" si="13"/>
        <v>#DIV/0!</v>
      </c>
      <c r="V107" s="142" t="e">
        <f t="shared" si="14"/>
        <v>#DIV/0!</v>
      </c>
      <c r="W107" s="130" t="e">
        <f t="shared" si="17"/>
        <v>#DIV/0!</v>
      </c>
    </row>
    <row r="108" spans="13:23">
      <c r="M108" s="65" t="s">
        <v>79</v>
      </c>
      <c r="N108" s="72">
        <f t="shared" si="9"/>
        <v>0</v>
      </c>
      <c r="O108" s="127">
        <f t="shared" si="15"/>
        <v>0</v>
      </c>
      <c r="P108" s="127">
        <f t="shared" si="16"/>
        <v>0</v>
      </c>
      <c r="Q108" s="127">
        <f t="shared" si="10"/>
        <v>0</v>
      </c>
      <c r="R108" s="127">
        <f>($B$4*$B$8)*(IF(ABS('Chemical Properties'!I60)&gt;0,'Chemical Properties'!I60,'Chemical Properties'!I23))*$B$9*M22/(IF(ABS('Chemical Properties'!J60)&gt;0,'Chemical Properties'!J60,'Chemical Properties'!J23)+M22)</f>
        <v>0</v>
      </c>
      <c r="S108" s="130" t="e">
        <f t="shared" si="11"/>
        <v>#DIV/0!</v>
      </c>
      <c r="T108" s="130" t="e">
        <f t="shared" si="12"/>
        <v>#DIV/0!</v>
      </c>
      <c r="U108" s="130" t="e">
        <f t="shared" si="13"/>
        <v>#DIV/0!</v>
      </c>
      <c r="V108" s="142" t="e">
        <f t="shared" si="14"/>
        <v>#DIV/0!</v>
      </c>
      <c r="W108" s="130" t="e">
        <f t="shared" si="17"/>
        <v>#DIV/0!</v>
      </c>
    </row>
    <row r="109" spans="13:23">
      <c r="M109" s="65" t="s">
        <v>15</v>
      </c>
      <c r="N109" s="72">
        <f t="shared" si="9"/>
        <v>0</v>
      </c>
      <c r="O109" s="127">
        <f t="shared" si="15"/>
        <v>0</v>
      </c>
      <c r="P109" s="127">
        <f t="shared" si="16"/>
        <v>0</v>
      </c>
      <c r="Q109" s="127">
        <f t="shared" si="10"/>
        <v>0</v>
      </c>
      <c r="R109" s="127">
        <f>($B$4*$B$8)*(IF(ABS('Chemical Properties'!I61)&gt;0,'Chemical Properties'!I61,'Chemical Properties'!I24))*$B$9*M23/(IF(ABS('Chemical Properties'!J61)&gt;0,'Chemical Properties'!J61,'Chemical Properties'!J24)+M23)</f>
        <v>0</v>
      </c>
      <c r="S109" s="130" t="e">
        <f t="shared" si="11"/>
        <v>#DIV/0!</v>
      </c>
      <c r="T109" s="130" t="e">
        <f t="shared" si="12"/>
        <v>#DIV/0!</v>
      </c>
      <c r="U109" s="130" t="e">
        <f t="shared" si="13"/>
        <v>#DIV/0!</v>
      </c>
      <c r="V109" s="142" t="e">
        <f t="shared" si="14"/>
        <v>#DIV/0!</v>
      </c>
      <c r="W109" s="130" t="e">
        <f t="shared" si="17"/>
        <v>#DIV/0!</v>
      </c>
    </row>
    <row r="110" spans="13:23">
      <c r="M110" s="65" t="s">
        <v>80</v>
      </c>
      <c r="N110" s="72">
        <f t="shared" si="9"/>
        <v>0</v>
      </c>
      <c r="O110" s="127">
        <f t="shared" si="15"/>
        <v>0</v>
      </c>
      <c r="P110" s="127">
        <f t="shared" si="16"/>
        <v>0</v>
      </c>
      <c r="Q110" s="127">
        <f t="shared" si="10"/>
        <v>0</v>
      </c>
      <c r="R110" s="127">
        <f>($B$4*$B$8)*(IF(ABS('Chemical Properties'!I62)&gt;0,'Chemical Properties'!I62,'Chemical Properties'!I25))*$B$9*M24/(IF(ABS('Chemical Properties'!J62)&gt;0,'Chemical Properties'!J62,'Chemical Properties'!J25)+M24)</f>
        <v>0</v>
      </c>
      <c r="S110" s="130" t="e">
        <f t="shared" si="11"/>
        <v>#DIV/0!</v>
      </c>
      <c r="T110" s="130" t="e">
        <f t="shared" si="12"/>
        <v>#DIV/0!</v>
      </c>
      <c r="U110" s="130" t="e">
        <f t="shared" si="13"/>
        <v>#DIV/0!</v>
      </c>
      <c r="V110" s="142" t="e">
        <f t="shared" si="14"/>
        <v>#DIV/0!</v>
      </c>
      <c r="W110" s="130" t="e">
        <f t="shared" si="17"/>
        <v>#DIV/0!</v>
      </c>
    </row>
    <row r="111" spans="13:23">
      <c r="M111" s="65" t="s">
        <v>59</v>
      </c>
      <c r="N111" s="72">
        <f>$B$7*B42</f>
        <v>0</v>
      </c>
      <c r="O111" s="127" t="e">
        <f>M25*($B$7-$B$12)</f>
        <v>#DIV/0!</v>
      </c>
      <c r="P111" s="127" t="e">
        <f>K25</f>
        <v>#DIV/0!</v>
      </c>
      <c r="Q111" s="127" t="e">
        <f>$B$12*M25*AA69*$B$15</f>
        <v>#DIV/0!</v>
      </c>
      <c r="R111" s="127" t="e">
        <f>($B$4*$B$8)*(IF(ABS('Chemical Properties'!I63)&gt;0,'Chemical Properties'!I63,'Chemical Properties'!I26))*$B$9*M25/(IF(ABS('Chemical Properties'!J63)&gt;0,'Chemical Properties'!J63,'Chemical Properties'!J26)+M25)</f>
        <v>#DIV/0!</v>
      </c>
      <c r="S111" s="130" t="e">
        <f>O111/N111*100</f>
        <v>#DIV/0!</v>
      </c>
      <c r="T111" s="130" t="e">
        <f>P111/N111*100</f>
        <v>#DIV/0!</v>
      </c>
      <c r="U111" s="130" t="e">
        <f>R111/N111*100</f>
        <v>#DIV/0!</v>
      </c>
      <c r="V111" s="142" t="e">
        <f>Q111/N111*100</f>
        <v>#DIV/0!</v>
      </c>
      <c r="W111" s="130" t="e">
        <f>(O111+P111+Q111+R111)/N111*100</f>
        <v>#DIV/0!</v>
      </c>
    </row>
    <row r="112" spans="13:23">
      <c r="M112" s="81" t="s">
        <v>60</v>
      </c>
      <c r="N112" s="72">
        <f>$B$7*B43</f>
        <v>0</v>
      </c>
      <c r="O112" s="127" t="e">
        <f>M26*($B$7-$B$12)</f>
        <v>#DIV/0!</v>
      </c>
      <c r="P112" s="127" t="e">
        <f>K26</f>
        <v>#DIV/0!</v>
      </c>
      <c r="Q112" s="127" t="e">
        <f>$B$12*M26*AA70*$B$15</f>
        <v>#DIV/0!</v>
      </c>
      <c r="R112" s="127" t="e">
        <f>($B$4*$B$8)*(IF(ABS('Chemical Properties'!I64)&gt;0,'Chemical Properties'!I64,'Chemical Properties'!I27))*$B$9*M26/(IF(ABS('Chemical Properties'!J64)&gt;0,'Chemical Properties'!J64,'Chemical Properties'!J27)+M26)</f>
        <v>#DIV/0!</v>
      </c>
      <c r="S112" s="130" t="e">
        <f>O112/N112*100</f>
        <v>#DIV/0!</v>
      </c>
      <c r="T112" s="130" t="e">
        <f>P112/N112*100</f>
        <v>#DIV/0!</v>
      </c>
      <c r="U112" s="130" t="e">
        <f>R112/N112*100</f>
        <v>#DIV/0!</v>
      </c>
      <c r="V112" s="142" t="e">
        <f>Q112/N112*100</f>
        <v>#DIV/0!</v>
      </c>
      <c r="W112" s="130" t="e">
        <f>(O112+P112+Q112+R112)/N112*100</f>
        <v>#DIV/0!</v>
      </c>
    </row>
    <row r="113" spans="13:23">
      <c r="M113" s="65" t="s">
        <v>61</v>
      </c>
      <c r="N113" s="72">
        <f>$B$7*B44</f>
        <v>0</v>
      </c>
      <c r="O113" s="127" t="e">
        <f>M27*($B$7-$B$12)</f>
        <v>#DIV/0!</v>
      </c>
      <c r="P113" s="127" t="e">
        <f>K27</f>
        <v>#DIV/0!</v>
      </c>
      <c r="Q113" s="127" t="e">
        <f>$B$12*M27*AA71*$B$15</f>
        <v>#DIV/0!</v>
      </c>
      <c r="R113" s="127" t="e">
        <f>($B$4*$B$8)*(IF(ABS('Chemical Properties'!I65)&gt;0,'Chemical Properties'!I65,'Chemical Properties'!I28))*$B$9*M27/(IF(ABS('Chemical Properties'!J65)&gt;0,'Chemical Properties'!J65,'Chemical Properties'!J28)+M27)</f>
        <v>#DIV/0!</v>
      </c>
      <c r="S113" s="130" t="e">
        <f>O113/N113*100</f>
        <v>#DIV/0!</v>
      </c>
      <c r="T113" s="130" t="e">
        <f>P113/N113*100</f>
        <v>#DIV/0!</v>
      </c>
      <c r="U113" s="130" t="e">
        <f>R113/N113*100</f>
        <v>#DIV/0!</v>
      </c>
      <c r="V113" s="142" t="e">
        <f>Q113/N113*100</f>
        <v>#DIV/0!</v>
      </c>
      <c r="W113" s="130" t="e">
        <f>(O113+P113+Q113+R113)/N113*100</f>
        <v>#DIV/0!</v>
      </c>
    </row>
    <row r="114" spans="13:23">
      <c r="M114" s="65" t="s">
        <v>256</v>
      </c>
      <c r="N114" s="72">
        <f>$B$7*B45</f>
        <v>0</v>
      </c>
      <c r="O114" s="127">
        <f>M28*($B$7-$B$12)</f>
        <v>0</v>
      </c>
      <c r="P114" s="127">
        <f>K28</f>
        <v>0</v>
      </c>
      <c r="Q114" s="127">
        <f>$B$12*M28*AA72*$B$15</f>
        <v>0</v>
      </c>
      <c r="R114" s="127">
        <f>($B$4*$B$8)*(IF(ABS('Chemical Properties'!I66)&gt;0,'Chemical Properties'!I66,'Chemical Properties'!I29))*$B$9*M28/(IF(ABS('Chemical Properties'!J66)&gt;0,'Chemical Properties'!J66,'Chemical Properties'!J29)+M28)</f>
        <v>0</v>
      </c>
      <c r="S114" s="130" t="e">
        <f>O114/N114*100</f>
        <v>#DIV/0!</v>
      </c>
      <c r="T114" s="130" t="e">
        <f>P114/N114*100</f>
        <v>#DIV/0!</v>
      </c>
      <c r="U114" s="130" t="e">
        <f>R114/N114*100</f>
        <v>#DIV/0!</v>
      </c>
      <c r="V114" s="142" t="e">
        <f>Q114/N114*100</f>
        <v>#DIV/0!</v>
      </c>
      <c r="W114" s="130" t="e">
        <f>(O114+P114+Q114+R114)/N114*100</f>
        <v>#DIV/0!</v>
      </c>
    </row>
    <row r="116" spans="13:23">
      <c r="M116" s="91"/>
      <c r="N116" s="222"/>
      <c r="O116" s="254"/>
      <c r="P116" s="254"/>
      <c r="Q116" s="254"/>
      <c r="R116" s="254"/>
      <c r="S116" s="255"/>
      <c r="T116" s="255"/>
      <c r="U116" s="255"/>
      <c r="V116" s="259"/>
      <c r="W116" s="255"/>
    </row>
  </sheetData>
  <mergeCells count="4">
    <mergeCell ref="A19:C19"/>
    <mergeCell ref="I46:K46"/>
    <mergeCell ref="A1:E1"/>
    <mergeCell ref="M87:T87"/>
  </mergeCells>
  <phoneticPr fontId="5" type="noConversion"/>
  <pageMargins left="1.5" right="2.86" top="1" bottom="1" header="0.5" footer="0.5"/>
  <pageSetup scale="11"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7030A0"/>
    <pageSetUpPr fitToPage="1"/>
  </sheetPr>
  <dimension ref="A1:AD116"/>
  <sheetViews>
    <sheetView workbookViewId="0">
      <selection activeCell="B3" sqref="B3"/>
    </sheetView>
  </sheetViews>
  <sheetFormatPr defaultRowHeight="12.75"/>
  <cols>
    <col min="1" max="1" width="57" style="57" customWidth="1"/>
    <col min="2" max="3" width="9.140625" style="57"/>
    <col min="4" max="4" width="2.42578125" style="57" customWidth="1"/>
    <col min="5" max="5" width="70.140625" style="57" customWidth="1"/>
    <col min="6" max="6" width="9.140625" style="57"/>
    <col min="7" max="7" width="13.42578125" style="57" customWidth="1"/>
    <col min="8" max="8" width="19.7109375" style="57" customWidth="1"/>
    <col min="9" max="9" width="3.85546875" style="57" customWidth="1"/>
    <col min="10" max="10" width="31.42578125" style="57" customWidth="1"/>
    <col min="11" max="11" width="10.5703125" style="57" bestFit="1" customWidth="1"/>
    <col min="12" max="12" width="9.140625" style="57"/>
    <col min="13" max="13" width="35.140625" style="57" customWidth="1"/>
    <col min="14" max="15" width="10" style="57" bestFit="1" customWidth="1"/>
    <col min="16" max="16" width="12.5703125" style="57" bestFit="1" customWidth="1"/>
    <col min="17" max="17" width="10.5703125" style="57" bestFit="1" customWidth="1"/>
    <col min="18" max="18" width="14.85546875" style="57" customWidth="1"/>
    <col min="19" max="19" width="9.42578125" style="57" bestFit="1" customWidth="1"/>
    <col min="20" max="20" width="10" style="57" bestFit="1" customWidth="1"/>
    <col min="21" max="22" width="12.7109375" style="57" bestFit="1" customWidth="1"/>
    <col min="23" max="24" width="12.5703125" style="57" bestFit="1" customWidth="1"/>
    <col min="25" max="25" width="11.140625" style="57" bestFit="1" customWidth="1"/>
    <col min="26" max="26" width="10.5703125" style="57" bestFit="1" customWidth="1"/>
    <col min="27" max="28" width="10" style="57" bestFit="1" customWidth="1"/>
    <col min="29" max="29" width="10.5703125" style="57" bestFit="1" customWidth="1"/>
    <col min="30" max="30" width="10.7109375" style="57" bestFit="1" customWidth="1"/>
    <col min="31" max="16384" width="9.140625" style="57"/>
  </cols>
  <sheetData>
    <row r="1" spans="1:16" ht="40.5" customHeight="1">
      <c r="A1" s="305" t="s">
        <v>270</v>
      </c>
      <c r="B1" s="300"/>
      <c r="C1" s="300"/>
      <c r="D1" s="300"/>
      <c r="E1" s="300"/>
    </row>
    <row r="2" spans="1:16">
      <c r="A2" s="68" t="s">
        <v>127</v>
      </c>
      <c r="B2" s="68" t="s">
        <v>4</v>
      </c>
      <c r="C2" s="68" t="s">
        <v>5</v>
      </c>
      <c r="D2" s="86"/>
      <c r="E2" s="68" t="s">
        <v>24</v>
      </c>
      <c r="F2" s="68" t="s">
        <v>4</v>
      </c>
      <c r="G2" s="68" t="s">
        <v>5</v>
      </c>
      <c r="H2" s="68" t="s">
        <v>57</v>
      </c>
      <c r="I2" s="86"/>
      <c r="J2" s="68" t="s">
        <v>22</v>
      </c>
      <c r="K2" s="68" t="s">
        <v>4</v>
      </c>
      <c r="L2" s="68" t="s">
        <v>5</v>
      </c>
      <c r="M2" s="68" t="s">
        <v>32</v>
      </c>
      <c r="N2" s="68" t="s">
        <v>5</v>
      </c>
      <c r="O2" s="69"/>
    </row>
    <row r="3" spans="1:16" ht="15.75">
      <c r="A3" s="56" t="s">
        <v>122</v>
      </c>
      <c r="B3" s="70">
        <v>1225</v>
      </c>
      <c r="C3" s="59" t="s">
        <v>1</v>
      </c>
      <c r="D3" s="58"/>
      <c r="E3" s="71" t="s">
        <v>164</v>
      </c>
      <c r="F3" s="75">
        <f>H3</f>
        <v>8.9300000000000004E-3</v>
      </c>
      <c r="G3" s="72" t="s">
        <v>25</v>
      </c>
      <c r="H3" s="96">
        <v>8.9300000000000004E-3</v>
      </c>
      <c r="I3" s="58"/>
      <c r="J3" s="60" t="s">
        <v>17</v>
      </c>
      <c r="K3" s="232">
        <f>IF(ABS(W47*M3*$B$3)&gt;N89,N89,(W47*M3*$B$3))</f>
        <v>5.67695419062855E-3</v>
      </c>
      <c r="L3" s="121" t="s">
        <v>23</v>
      </c>
      <c r="M3" s="173">
        <f>IF(ABS($B$12)&gt;0,(-Y47+((Y47^(2)-4*X47*Z47)^(0.5)))/(2*X47),((-AC47+(AC47^(2)-4*AB47*AD47)^(0.5))/(2*AB47)))</f>
        <v>0.42813605595282239</v>
      </c>
      <c r="N3" s="59" t="s">
        <v>18</v>
      </c>
    </row>
    <row r="4" spans="1:16" ht="15.75">
      <c r="A4" s="71" t="s">
        <v>123</v>
      </c>
      <c r="B4" s="73">
        <v>25</v>
      </c>
      <c r="C4" s="59" t="s">
        <v>37</v>
      </c>
      <c r="D4" s="58"/>
      <c r="E4" s="71" t="s">
        <v>34</v>
      </c>
      <c r="F4" s="75">
        <f>H4</f>
        <v>1</v>
      </c>
      <c r="G4" s="72" t="s">
        <v>26</v>
      </c>
      <c r="H4" s="96">
        <v>1</v>
      </c>
      <c r="I4" s="58"/>
      <c r="J4" s="62" t="s">
        <v>6</v>
      </c>
      <c r="K4" s="232">
        <f t="shared" ref="K4:K24" si="0">IF(ABS(W48*M4*$B$3)&gt;N90,N90,(W48*M4*$B$3))</f>
        <v>0.29197199513472583</v>
      </c>
      <c r="L4" s="121" t="s">
        <v>23</v>
      </c>
      <c r="M4" s="173">
        <f t="shared" ref="M4:M24" si="1">IF(ABS($B$12)&gt;0,(-Y48+((Y48^(2)-4*X48*Z48)^(0.5)))/(2*X48),((-AC48+(AC48^(2)-4*AB48*AD48)^(0.5))/(2*AB48)))</f>
        <v>6.5025771567319604E-2</v>
      </c>
      <c r="N4" s="59" t="s">
        <v>18</v>
      </c>
      <c r="P4" s="106"/>
    </row>
    <row r="5" spans="1:16" ht="15.75">
      <c r="A5" s="71" t="s">
        <v>130</v>
      </c>
      <c r="B5" s="87">
        <v>1</v>
      </c>
      <c r="C5" s="82" t="s">
        <v>3</v>
      </c>
      <c r="D5" s="58"/>
      <c r="E5" s="71" t="s">
        <v>36</v>
      </c>
      <c r="F5" s="75">
        <f>H5</f>
        <v>8.2100000000000003E-5</v>
      </c>
      <c r="G5" s="72" t="s">
        <v>162</v>
      </c>
      <c r="H5" s="96">
        <v>8.2100000000000003E-5</v>
      </c>
      <c r="I5" s="58"/>
      <c r="J5" s="62" t="s">
        <v>13</v>
      </c>
      <c r="K5" s="232">
        <f t="shared" si="0"/>
        <v>0.48008293443072192</v>
      </c>
      <c r="L5" s="121" t="s">
        <v>23</v>
      </c>
      <c r="M5" s="173">
        <f t="shared" si="1"/>
        <v>7.1391335583708818E-2</v>
      </c>
      <c r="N5" s="59" t="s">
        <v>18</v>
      </c>
      <c r="P5" s="106"/>
    </row>
    <row r="6" spans="1:16" ht="15.75">
      <c r="A6" s="56" t="s">
        <v>124</v>
      </c>
      <c r="B6" s="70">
        <v>1</v>
      </c>
      <c r="C6" s="59" t="s">
        <v>19</v>
      </c>
      <c r="D6" s="58"/>
      <c r="E6" s="71" t="s">
        <v>163</v>
      </c>
      <c r="F6" s="75">
        <f>H6</f>
        <v>1.8100000000000001E-4</v>
      </c>
      <c r="G6" s="72" t="s">
        <v>25</v>
      </c>
      <c r="H6" s="96">
        <v>1.8100000000000001E-4</v>
      </c>
      <c r="I6" s="58"/>
      <c r="J6" s="60" t="s">
        <v>69</v>
      </c>
      <c r="K6" s="232">
        <f t="shared" si="0"/>
        <v>4.6700533495052016E-2</v>
      </c>
      <c r="L6" s="121" t="s">
        <v>23</v>
      </c>
      <c r="M6" s="173">
        <f t="shared" si="1"/>
        <v>0.41957334442491717</v>
      </c>
      <c r="N6" s="59" t="s">
        <v>18</v>
      </c>
      <c r="P6" s="106"/>
    </row>
    <row r="7" spans="1:16" ht="15.75">
      <c r="A7" s="56" t="s">
        <v>131</v>
      </c>
      <c r="B7" s="74">
        <v>7</v>
      </c>
      <c r="C7" s="59" t="s">
        <v>46</v>
      </c>
      <c r="D7" s="58"/>
      <c r="E7" s="71" t="s">
        <v>27</v>
      </c>
      <c r="F7" s="75">
        <f>H7</f>
        <v>1.1999999999999999E-3</v>
      </c>
      <c r="G7" s="72" t="s">
        <v>26</v>
      </c>
      <c r="H7" s="96">
        <v>1.1999999999999999E-3</v>
      </c>
      <c r="I7" s="58"/>
      <c r="J7" s="62" t="s">
        <v>9</v>
      </c>
      <c r="K7" s="232">
        <f t="shared" si="0"/>
        <v>7.7778836697685885E-2</v>
      </c>
      <c r="L7" s="121" t="s">
        <v>23</v>
      </c>
      <c r="M7" s="173">
        <f t="shared" si="1"/>
        <v>0.10760373923288699</v>
      </c>
      <c r="N7" s="59" t="s">
        <v>18</v>
      </c>
      <c r="P7" s="106"/>
    </row>
    <row r="8" spans="1:16" ht="15.75">
      <c r="A8" s="56" t="s">
        <v>125</v>
      </c>
      <c r="B8" s="74">
        <v>300</v>
      </c>
      <c r="C8" s="72" t="s">
        <v>38</v>
      </c>
      <c r="D8" s="58"/>
      <c r="E8" s="71" t="s">
        <v>138</v>
      </c>
      <c r="F8" s="75">
        <f t="shared" ref="F8:F13" si="2">H8</f>
        <v>725</v>
      </c>
      <c r="G8" s="59" t="s">
        <v>1</v>
      </c>
      <c r="H8" s="96">
        <f>B3-B13</f>
        <v>725</v>
      </c>
      <c r="I8" s="58"/>
      <c r="J8" s="63" t="s">
        <v>7</v>
      </c>
      <c r="K8" s="232">
        <f t="shared" si="0"/>
        <v>0.18869327171652264</v>
      </c>
      <c r="L8" s="121" t="s">
        <v>23</v>
      </c>
      <c r="M8" s="173">
        <f t="shared" si="1"/>
        <v>3.6356311579478336E-2</v>
      </c>
      <c r="N8" s="59" t="s">
        <v>18</v>
      </c>
      <c r="P8" s="106"/>
    </row>
    <row r="9" spans="1:16" ht="15.75">
      <c r="A9" s="56" t="s">
        <v>126</v>
      </c>
      <c r="B9" s="74">
        <v>5</v>
      </c>
      <c r="C9" s="72" t="s">
        <v>52</v>
      </c>
      <c r="D9" s="58"/>
      <c r="E9" s="71" t="s">
        <v>42</v>
      </c>
      <c r="F9" s="75">
        <f t="shared" si="2"/>
        <v>0.83</v>
      </c>
      <c r="G9" s="59" t="s">
        <v>43</v>
      </c>
      <c r="H9" s="96">
        <v>0.83</v>
      </c>
      <c r="I9" s="58"/>
      <c r="J9" s="62" t="s">
        <v>8</v>
      </c>
      <c r="K9" s="232">
        <f t="shared" si="0"/>
        <v>0.2221636118104581</v>
      </c>
      <c r="L9" s="121" t="s">
        <v>23</v>
      </c>
      <c r="M9" s="173">
        <f t="shared" si="1"/>
        <v>4.8579894095746062E-2</v>
      </c>
      <c r="N9" s="59" t="s">
        <v>18</v>
      </c>
      <c r="P9" s="106"/>
    </row>
    <row r="10" spans="1:16" ht="15.75">
      <c r="A10" s="71" t="s">
        <v>135</v>
      </c>
      <c r="B10" s="74">
        <v>3000</v>
      </c>
      <c r="C10" s="59" t="s">
        <v>18</v>
      </c>
      <c r="D10" s="58"/>
      <c r="E10" s="71" t="s">
        <v>44</v>
      </c>
      <c r="F10" s="75">
        <f t="shared" si="2"/>
        <v>3</v>
      </c>
      <c r="G10" s="59" t="s">
        <v>45</v>
      </c>
      <c r="H10" s="96">
        <v>3</v>
      </c>
      <c r="I10" s="58"/>
      <c r="J10" s="62" t="s">
        <v>11</v>
      </c>
      <c r="K10" s="232">
        <f t="shared" si="0"/>
        <v>0.60355276721026119</v>
      </c>
      <c r="L10" s="121" t="s">
        <v>23</v>
      </c>
      <c r="M10" s="173">
        <f t="shared" si="1"/>
        <v>0.20955977079607341</v>
      </c>
      <c r="N10" s="59" t="s">
        <v>18</v>
      </c>
      <c r="P10" s="106"/>
    </row>
    <row r="11" spans="1:16" ht="15.75">
      <c r="A11" s="56" t="s">
        <v>56</v>
      </c>
      <c r="B11" s="75">
        <v>4.47</v>
      </c>
      <c r="C11" s="59" t="s">
        <v>0</v>
      </c>
      <c r="D11" s="58"/>
      <c r="E11" s="71" t="s">
        <v>47</v>
      </c>
      <c r="F11" s="75">
        <f t="shared" si="2"/>
        <v>61</v>
      </c>
      <c r="G11" s="59" t="s">
        <v>2</v>
      </c>
      <c r="H11" s="96">
        <v>61</v>
      </c>
      <c r="I11" s="58"/>
      <c r="J11" s="63" t="s">
        <v>70</v>
      </c>
      <c r="K11" s="232">
        <f t="shared" si="0"/>
        <v>0.56224867176529603</v>
      </c>
      <c r="L11" s="121" t="s">
        <v>23</v>
      </c>
      <c r="M11" s="173">
        <f t="shared" si="1"/>
        <v>7.4629627422311023E-2</v>
      </c>
      <c r="N11" s="59" t="s">
        <v>18</v>
      </c>
      <c r="P11" s="106"/>
    </row>
    <row r="12" spans="1:16" ht="15.75">
      <c r="A12" s="71" t="s">
        <v>141</v>
      </c>
      <c r="B12" s="75">
        <v>0.1</v>
      </c>
      <c r="C12" s="59" t="s">
        <v>19</v>
      </c>
      <c r="D12" s="58"/>
      <c r="E12" s="71" t="s">
        <v>48</v>
      </c>
      <c r="F12" s="75">
        <f t="shared" si="2"/>
        <v>2</v>
      </c>
      <c r="G12" s="59" t="s">
        <v>49</v>
      </c>
      <c r="H12" s="96">
        <v>2</v>
      </c>
      <c r="I12" s="58"/>
      <c r="J12" s="63" t="s">
        <v>16</v>
      </c>
      <c r="K12" s="232">
        <f t="shared" si="0"/>
        <v>4.0560678360765911E-6</v>
      </c>
      <c r="L12" s="121" t="s">
        <v>23</v>
      </c>
      <c r="M12" s="173">
        <f t="shared" si="1"/>
        <v>0.75079248343809557</v>
      </c>
      <c r="N12" s="59" t="s">
        <v>18</v>
      </c>
      <c r="P12" s="106"/>
    </row>
    <row r="13" spans="1:16" ht="15.75">
      <c r="A13" s="71" t="s">
        <v>139</v>
      </c>
      <c r="B13" s="75">
        <v>500</v>
      </c>
      <c r="C13" s="59" t="s">
        <v>1</v>
      </c>
      <c r="D13" s="58"/>
      <c r="E13" s="71" t="s">
        <v>50</v>
      </c>
      <c r="F13" s="75">
        <f t="shared" si="2"/>
        <v>126</v>
      </c>
      <c r="G13" s="59" t="s">
        <v>51</v>
      </c>
      <c r="H13" s="96">
        <v>126</v>
      </c>
      <c r="I13" s="58"/>
      <c r="J13" s="60" t="s">
        <v>71</v>
      </c>
      <c r="K13" s="232">
        <f t="shared" si="0"/>
        <v>6.4349706920160565E-2</v>
      </c>
      <c r="L13" s="121" t="s">
        <v>23</v>
      </c>
      <c r="M13" s="173">
        <f t="shared" si="1"/>
        <v>0.25293915621571428</v>
      </c>
      <c r="N13" s="59" t="s">
        <v>18</v>
      </c>
      <c r="P13" s="106"/>
    </row>
    <row r="14" spans="1:16" ht="15.75">
      <c r="A14" s="99" t="s">
        <v>147</v>
      </c>
      <c r="B14" s="75">
        <v>250</v>
      </c>
      <c r="C14" s="59" t="s">
        <v>18</v>
      </c>
      <c r="D14" s="58"/>
      <c r="E14" s="56" t="s">
        <v>90</v>
      </c>
      <c r="F14" s="97">
        <v>8.4999999999999999E-6</v>
      </c>
      <c r="G14" s="59" t="s">
        <v>89</v>
      </c>
      <c r="H14" s="98">
        <v>8.4999999999999999E-6</v>
      </c>
      <c r="I14" s="58"/>
      <c r="J14" s="62" t="s">
        <v>12</v>
      </c>
      <c r="K14" s="232">
        <f t="shared" si="0"/>
        <v>0.20146194933766662</v>
      </c>
      <c r="L14" s="121" t="s">
        <v>23</v>
      </c>
      <c r="M14" s="173">
        <f t="shared" si="1"/>
        <v>4.3975669354736707E-2</v>
      </c>
      <c r="N14" s="59" t="s">
        <v>18</v>
      </c>
      <c r="P14" s="106"/>
    </row>
    <row r="15" spans="1:16" ht="15.75">
      <c r="A15" s="71" t="s">
        <v>166</v>
      </c>
      <c r="B15" s="75">
        <v>15000</v>
      </c>
      <c r="C15" s="59" t="s">
        <v>18</v>
      </c>
      <c r="D15" s="58"/>
      <c r="E15" s="71" t="s">
        <v>85</v>
      </c>
      <c r="F15" s="75">
        <f>H15</f>
        <v>0.33</v>
      </c>
      <c r="G15" s="59" t="s">
        <v>43</v>
      </c>
      <c r="H15" s="96">
        <v>0.33</v>
      </c>
      <c r="I15" s="58"/>
      <c r="J15" s="62" t="s">
        <v>10</v>
      </c>
      <c r="K15" s="232">
        <f t="shared" si="0"/>
        <v>9.2122872542941724E-6</v>
      </c>
      <c r="L15" s="121" t="s">
        <v>23</v>
      </c>
      <c r="M15" s="173">
        <f t="shared" si="1"/>
        <v>1.067564790765513E-2</v>
      </c>
      <c r="N15" s="59" t="s">
        <v>18</v>
      </c>
      <c r="P15" s="106"/>
    </row>
    <row r="16" spans="1:16" ht="14.25">
      <c r="D16" s="58"/>
      <c r="E16" s="71" t="s">
        <v>148</v>
      </c>
      <c r="F16" s="75">
        <f>H16</f>
        <v>0.67</v>
      </c>
      <c r="G16" s="120" t="s">
        <v>149</v>
      </c>
      <c r="H16" s="96">
        <v>0.67</v>
      </c>
      <c r="I16" s="58"/>
      <c r="J16" s="63" t="s">
        <v>72</v>
      </c>
      <c r="K16" s="232">
        <f t="shared" si="0"/>
        <v>0.32067415613583528</v>
      </c>
      <c r="L16" s="121" t="s">
        <v>23</v>
      </c>
      <c r="M16" s="173">
        <f t="shared" si="1"/>
        <v>4.9541217619129552E-2</v>
      </c>
      <c r="N16" s="59" t="s">
        <v>18</v>
      </c>
      <c r="P16" s="106"/>
    </row>
    <row r="17" spans="1:16" ht="14.25">
      <c r="D17" s="58"/>
      <c r="H17" s="89"/>
      <c r="I17" s="58"/>
      <c r="J17" s="63" t="s">
        <v>73</v>
      </c>
      <c r="K17" s="232">
        <f t="shared" si="0"/>
        <v>2.6452531446324841E-5</v>
      </c>
      <c r="L17" s="121" t="s">
        <v>23</v>
      </c>
      <c r="M17" s="173">
        <f t="shared" si="1"/>
        <v>8.2203730494104232E-3</v>
      </c>
      <c r="N17" s="59" t="s">
        <v>18</v>
      </c>
      <c r="P17" s="106"/>
    </row>
    <row r="18" spans="1:16" ht="15">
      <c r="A18" s="298" t="s">
        <v>102</v>
      </c>
      <c r="B18" s="308"/>
      <c r="C18" s="308"/>
      <c r="D18" s="58"/>
      <c r="H18" s="89"/>
      <c r="I18" s="58"/>
      <c r="J18" s="64" t="s">
        <v>74</v>
      </c>
      <c r="K18" s="232">
        <f t="shared" si="0"/>
        <v>0.2373173940300782</v>
      </c>
      <c r="L18" s="121" t="s">
        <v>23</v>
      </c>
      <c r="M18" s="173">
        <f t="shared" si="1"/>
        <v>5.4159054998431586E-2</v>
      </c>
      <c r="N18" s="59" t="s">
        <v>18</v>
      </c>
      <c r="P18" s="106"/>
    </row>
    <row r="19" spans="1:16" ht="14.25">
      <c r="A19" s="60" t="s">
        <v>17</v>
      </c>
      <c r="B19" s="76">
        <v>1</v>
      </c>
      <c r="C19" s="59" t="s">
        <v>18</v>
      </c>
      <c r="D19" s="58"/>
      <c r="I19" s="58"/>
      <c r="J19" s="63" t="s">
        <v>75</v>
      </c>
      <c r="K19" s="232">
        <f t="shared" si="0"/>
        <v>0.15054628465352526</v>
      </c>
      <c r="L19" s="121" t="s">
        <v>23</v>
      </c>
      <c r="M19" s="173">
        <f t="shared" si="1"/>
        <v>0.1419915599819731</v>
      </c>
      <c r="N19" s="59" t="s">
        <v>18</v>
      </c>
      <c r="P19" s="106"/>
    </row>
    <row r="20" spans="1:16" ht="14.25">
      <c r="A20" s="62" t="s">
        <v>6</v>
      </c>
      <c r="B20" s="76">
        <v>1</v>
      </c>
      <c r="C20" s="59" t="s">
        <v>18</v>
      </c>
      <c r="D20" s="58"/>
      <c r="I20" s="58"/>
      <c r="J20" s="64" t="s">
        <v>78</v>
      </c>
      <c r="K20" s="232">
        <f t="shared" si="0"/>
        <v>2.9477699803527734E-2</v>
      </c>
      <c r="L20" s="121" t="s">
        <v>23</v>
      </c>
      <c r="M20" s="173">
        <f t="shared" si="1"/>
        <v>7.9490708762964032E-2</v>
      </c>
      <c r="N20" s="59" t="s">
        <v>18</v>
      </c>
      <c r="P20" s="106"/>
    </row>
    <row r="21" spans="1:16" ht="14.25">
      <c r="A21" s="62" t="s">
        <v>13</v>
      </c>
      <c r="B21" s="76">
        <v>1</v>
      </c>
      <c r="C21" s="59" t="s">
        <v>18</v>
      </c>
      <c r="D21" s="58"/>
      <c r="I21" s="58"/>
      <c r="J21" s="65" t="s">
        <v>14</v>
      </c>
      <c r="K21" s="232">
        <f t="shared" si="0"/>
        <v>0.52455696271382635</v>
      </c>
      <c r="L21" s="121" t="s">
        <v>23</v>
      </c>
      <c r="M21" s="173">
        <f t="shared" si="1"/>
        <v>6.541827837422283E-2</v>
      </c>
      <c r="N21" s="59" t="s">
        <v>18</v>
      </c>
      <c r="P21" s="106"/>
    </row>
    <row r="22" spans="1:16" ht="14.25">
      <c r="A22" s="60" t="s">
        <v>69</v>
      </c>
      <c r="B22" s="76">
        <v>1</v>
      </c>
      <c r="C22" s="59" t="s">
        <v>18</v>
      </c>
      <c r="D22" s="58"/>
      <c r="I22" s="58"/>
      <c r="J22" s="65" t="s">
        <v>79</v>
      </c>
      <c r="K22" s="232">
        <f t="shared" si="0"/>
        <v>0.22453533860442723</v>
      </c>
      <c r="L22" s="121" t="s">
        <v>23</v>
      </c>
      <c r="M22" s="173">
        <f t="shared" si="1"/>
        <v>0.10215712563654576</v>
      </c>
      <c r="N22" s="59" t="s">
        <v>18</v>
      </c>
      <c r="P22" s="106"/>
    </row>
    <row r="23" spans="1:16" ht="14.25">
      <c r="A23" s="62" t="s">
        <v>9</v>
      </c>
      <c r="B23" s="76">
        <v>1</v>
      </c>
      <c r="C23" s="59" t="s">
        <v>18</v>
      </c>
      <c r="D23" s="58"/>
      <c r="I23" s="58"/>
      <c r="J23" s="65" t="s">
        <v>15</v>
      </c>
      <c r="K23" s="232">
        <f t="shared" si="0"/>
        <v>4.6374509865961085E-8</v>
      </c>
      <c r="L23" s="121" t="s">
        <v>23</v>
      </c>
      <c r="M23" s="173">
        <f t="shared" si="1"/>
        <v>0.59540921602927754</v>
      </c>
      <c r="N23" s="59" t="s">
        <v>18</v>
      </c>
      <c r="P23" s="106"/>
    </row>
    <row r="24" spans="1:16" ht="14.25">
      <c r="A24" s="63" t="s">
        <v>7</v>
      </c>
      <c r="B24" s="76">
        <v>1</v>
      </c>
      <c r="C24" s="59" t="s">
        <v>18</v>
      </c>
      <c r="D24" s="58"/>
      <c r="I24" s="58"/>
      <c r="J24" s="65" t="s">
        <v>80</v>
      </c>
      <c r="K24" s="232">
        <f t="shared" si="0"/>
        <v>3.4111053242047558E-2</v>
      </c>
      <c r="L24" s="121" t="s">
        <v>23</v>
      </c>
      <c r="M24" s="173">
        <f t="shared" si="1"/>
        <v>5.6298401140979825E-3</v>
      </c>
      <c r="N24" s="59" t="s">
        <v>18</v>
      </c>
      <c r="P24" s="106"/>
    </row>
    <row r="25" spans="1:16" ht="14.25">
      <c r="A25" s="62" t="s">
        <v>8</v>
      </c>
      <c r="B25" s="76">
        <v>1</v>
      </c>
      <c r="C25" s="59" t="s">
        <v>18</v>
      </c>
      <c r="D25" s="58"/>
      <c r="I25" s="58"/>
      <c r="J25" s="65" t="s">
        <v>59</v>
      </c>
      <c r="K25" s="232" t="e">
        <f>IF(ABS(W69*M25*$B$3)&gt;N111,N111,(W69*M25*$B$3))</f>
        <v>#DIV/0!</v>
      </c>
      <c r="L25" s="121" t="s">
        <v>23</v>
      </c>
      <c r="M25" s="173" t="e">
        <f>IF(ABS($B$12)&gt;0,(-Y69+((Y69^(2)-4*X69*Z69)^(0.5)))/(2*X69),((-AC69+(AC69^(2)-4*AB69*AD69)^(0.5))/(2*AB69)))</f>
        <v>#DIV/0!</v>
      </c>
      <c r="N25" s="59" t="s">
        <v>18</v>
      </c>
      <c r="P25" s="106"/>
    </row>
    <row r="26" spans="1:16" ht="14.25">
      <c r="A26" s="62" t="s">
        <v>11</v>
      </c>
      <c r="B26" s="76">
        <v>1</v>
      </c>
      <c r="C26" s="59" t="s">
        <v>18</v>
      </c>
      <c r="D26" s="58"/>
      <c r="I26" s="58"/>
      <c r="J26" s="81" t="s">
        <v>60</v>
      </c>
      <c r="K26" s="232" t="e">
        <f>IF(ABS(W70*M26*$B$3)&gt;N112,N112,(W70*M26*$B$3))</f>
        <v>#DIV/0!</v>
      </c>
      <c r="L26" s="121" t="s">
        <v>23</v>
      </c>
      <c r="M26" s="173" t="e">
        <f>IF(ABS($B$12)&gt;0,(-Y70+((Y70^(2)-4*X70*Z70)^(0.5)))/(2*X70),((-AC70+(AC70^(2)-4*AB70*AD70)^(0.5))/(2*AB70)))</f>
        <v>#DIV/0!</v>
      </c>
      <c r="N26" s="59" t="s">
        <v>18</v>
      </c>
      <c r="P26" s="106"/>
    </row>
    <row r="27" spans="1:16" ht="14.25">
      <c r="A27" s="63" t="s">
        <v>70</v>
      </c>
      <c r="B27" s="76">
        <v>1</v>
      </c>
      <c r="C27" s="59" t="s">
        <v>18</v>
      </c>
      <c r="D27" s="58"/>
      <c r="I27" s="58"/>
      <c r="J27" s="65" t="s">
        <v>61</v>
      </c>
      <c r="K27" s="232" t="e">
        <f>IF(ABS(W71*M27*$B$3)&gt;N113,N113,(W71*M27*$B$3))</f>
        <v>#DIV/0!</v>
      </c>
      <c r="L27" s="121" t="s">
        <v>23</v>
      </c>
      <c r="M27" s="173" t="e">
        <f>IF(ABS($B$12)&gt;0,(-Y71+((Y71^(2)-4*X71*Z71)^(0.5)))/(2*X71),((-AC71+(AC71^(2)-4*AB71*AD71)^(0.5))/(2*AB71)))</f>
        <v>#DIV/0!</v>
      </c>
      <c r="N27" s="59" t="s">
        <v>18</v>
      </c>
      <c r="P27" s="106"/>
    </row>
    <row r="28" spans="1:16" ht="14.25">
      <c r="A28" s="63" t="s">
        <v>16</v>
      </c>
      <c r="B28" s="76">
        <v>1</v>
      </c>
      <c r="C28" s="59" t="s">
        <v>18</v>
      </c>
      <c r="D28" s="58"/>
      <c r="I28" s="58"/>
      <c r="J28" s="65" t="s">
        <v>256</v>
      </c>
      <c r="K28" s="232">
        <f>IF(ABS(W72*M28*$B$3)&gt;N114,N114,(W72*M28*$B$3))</f>
        <v>0.39598351116153169</v>
      </c>
      <c r="L28" s="121" t="s">
        <v>23</v>
      </c>
      <c r="M28" s="173">
        <f>IF(ABS($B$12)&gt;0,(-Y72+((Y72^(2)-4*X72*Z72)^(0.5)))/(2*X72),((-AC72+(AC72^(2)-4*AB72*AD72)^(0.5))/(2*AB72)))</f>
        <v>5.2413043819914018E-2</v>
      </c>
      <c r="N28" s="59" t="s">
        <v>18</v>
      </c>
      <c r="P28" s="106"/>
    </row>
    <row r="29" spans="1:16" ht="14.25">
      <c r="A29" s="60" t="s">
        <v>71</v>
      </c>
      <c r="B29" s="76">
        <v>1</v>
      </c>
      <c r="C29" s="59" t="s">
        <v>18</v>
      </c>
      <c r="D29" s="58"/>
      <c r="I29" s="55"/>
      <c r="P29" s="106"/>
    </row>
    <row r="30" spans="1:16" ht="14.25">
      <c r="A30" s="62" t="s">
        <v>12</v>
      </c>
      <c r="B30" s="76">
        <v>1</v>
      </c>
      <c r="C30" s="59" t="s">
        <v>18</v>
      </c>
      <c r="D30" s="58"/>
      <c r="I30" s="55"/>
      <c r="J30" s="212"/>
      <c r="K30" s="260"/>
      <c r="L30" s="230"/>
      <c r="M30" s="258"/>
      <c r="N30" s="185"/>
      <c r="P30" s="106"/>
    </row>
    <row r="31" spans="1:16" ht="14.25">
      <c r="A31" s="62" t="s">
        <v>10</v>
      </c>
      <c r="B31" s="76">
        <v>1</v>
      </c>
      <c r="C31" s="59" t="s">
        <v>18</v>
      </c>
      <c r="D31" s="58"/>
      <c r="I31" s="55"/>
      <c r="J31" s="55"/>
      <c r="K31" s="55"/>
      <c r="L31" s="80"/>
      <c r="M31" s="55"/>
      <c r="N31" s="79"/>
    </row>
    <row r="32" spans="1:16" ht="14.25">
      <c r="A32" s="63" t="s">
        <v>72</v>
      </c>
      <c r="B32" s="76">
        <v>1</v>
      </c>
      <c r="C32" s="59" t="s">
        <v>18</v>
      </c>
      <c r="D32" s="58"/>
      <c r="J32" s="55"/>
      <c r="K32" s="55"/>
      <c r="L32" s="80"/>
      <c r="M32" s="55"/>
      <c r="N32" s="79"/>
    </row>
    <row r="33" spans="1:30" ht="14.25">
      <c r="A33" s="63" t="s">
        <v>73</v>
      </c>
      <c r="B33" s="76">
        <v>1</v>
      </c>
      <c r="C33" s="59" t="s">
        <v>18</v>
      </c>
      <c r="D33" s="58"/>
      <c r="J33" s="55"/>
      <c r="K33" s="55"/>
      <c r="L33" s="80"/>
      <c r="M33" s="55"/>
      <c r="N33" s="79"/>
    </row>
    <row r="34" spans="1:30" ht="14.25">
      <c r="A34" s="64" t="s">
        <v>74</v>
      </c>
      <c r="B34" s="76">
        <v>1</v>
      </c>
      <c r="C34" s="59" t="s">
        <v>18</v>
      </c>
      <c r="D34" s="58"/>
      <c r="J34" s="55"/>
      <c r="K34" s="55"/>
      <c r="L34" s="80"/>
      <c r="M34" s="55"/>
      <c r="N34" s="79"/>
    </row>
    <row r="35" spans="1:30" ht="14.25">
      <c r="A35" s="63" t="s">
        <v>75</v>
      </c>
      <c r="B35" s="76">
        <v>1</v>
      </c>
      <c r="C35" s="59" t="s">
        <v>18</v>
      </c>
      <c r="D35" s="58"/>
      <c r="J35" s="55"/>
      <c r="K35" s="55"/>
      <c r="L35" s="80"/>
      <c r="M35" s="55"/>
      <c r="N35" s="79"/>
    </row>
    <row r="36" spans="1:30" ht="14.25">
      <c r="A36" s="64" t="s">
        <v>78</v>
      </c>
      <c r="B36" s="76">
        <v>1</v>
      </c>
      <c r="C36" s="59" t="s">
        <v>18</v>
      </c>
      <c r="D36" s="58"/>
      <c r="J36" s="55"/>
      <c r="K36" s="55"/>
      <c r="L36" s="80"/>
      <c r="M36" s="55"/>
      <c r="N36" s="79"/>
    </row>
    <row r="37" spans="1:30" ht="14.25">
      <c r="A37" s="65" t="s">
        <v>14</v>
      </c>
      <c r="B37" s="76">
        <v>1</v>
      </c>
      <c r="C37" s="59" t="s">
        <v>18</v>
      </c>
      <c r="D37" s="58"/>
      <c r="J37" s="55"/>
      <c r="K37" s="55"/>
      <c r="L37" s="80"/>
      <c r="M37" s="55"/>
      <c r="N37" s="79"/>
    </row>
    <row r="38" spans="1:30" ht="14.25">
      <c r="A38" s="65" t="s">
        <v>79</v>
      </c>
      <c r="B38" s="76">
        <v>1</v>
      </c>
      <c r="C38" s="59" t="s">
        <v>18</v>
      </c>
      <c r="D38" s="58"/>
      <c r="J38" s="55"/>
      <c r="K38" s="55"/>
      <c r="L38" s="80"/>
      <c r="M38" s="55"/>
      <c r="N38" s="79"/>
    </row>
    <row r="39" spans="1:30" ht="14.25">
      <c r="A39" s="65" t="s">
        <v>15</v>
      </c>
      <c r="B39" s="76">
        <v>1</v>
      </c>
      <c r="C39" s="59" t="s">
        <v>18</v>
      </c>
      <c r="D39" s="55"/>
    </row>
    <row r="40" spans="1:30" ht="14.25">
      <c r="A40" s="65" t="s">
        <v>80</v>
      </c>
      <c r="B40" s="76">
        <v>1</v>
      </c>
      <c r="C40" s="59" t="s">
        <v>18</v>
      </c>
      <c r="D40" s="55"/>
    </row>
    <row r="41" spans="1:30" ht="14.25">
      <c r="A41" s="65" t="s">
        <v>59</v>
      </c>
      <c r="B41" s="76">
        <v>1</v>
      </c>
      <c r="C41" s="59" t="s">
        <v>18</v>
      </c>
      <c r="D41" s="55"/>
    </row>
    <row r="42" spans="1:30" ht="14.25">
      <c r="A42" s="81" t="s">
        <v>60</v>
      </c>
      <c r="B42" s="76">
        <v>1</v>
      </c>
      <c r="C42" s="59" t="s">
        <v>18</v>
      </c>
      <c r="D42" s="55"/>
    </row>
    <row r="43" spans="1:30" ht="15.75">
      <c r="A43" s="65" t="s">
        <v>61</v>
      </c>
      <c r="B43" s="76">
        <v>1</v>
      </c>
      <c r="C43" s="59" t="s">
        <v>18</v>
      </c>
      <c r="M43" s="56" t="s">
        <v>56</v>
      </c>
      <c r="N43" s="273">
        <f>IF(B11&lt;minWindSpd,minWindSpd,B11)</f>
        <v>4.47</v>
      </c>
      <c r="O43" s="59" t="s">
        <v>0</v>
      </c>
    </row>
    <row r="44" spans="1:30" ht="14.25">
      <c r="A44" s="65" t="s">
        <v>256</v>
      </c>
      <c r="B44" s="76">
        <v>1</v>
      </c>
      <c r="C44" s="59" t="s">
        <v>18</v>
      </c>
      <c r="M44" s="272" t="str">
        <f>IF(B11&lt;minWindSpd,CONCATENATE("Windspeed has been set at ",TEXT(minWindSpd,"0.##")," m/s, which is the minimum windspeed for the mass transfer calculations"),"")</f>
        <v/>
      </c>
    </row>
    <row r="45" spans="1:30">
      <c r="H45" s="55"/>
      <c r="I45" s="55"/>
      <c r="J45" s="55"/>
      <c r="K45" s="55"/>
    </row>
    <row r="46" spans="1:30" ht="14.25">
      <c r="A46" s="212"/>
      <c r="B46" s="215"/>
      <c r="C46" s="185"/>
      <c r="H46" s="55"/>
      <c r="I46" s="310"/>
      <c r="J46" s="310"/>
      <c r="K46" s="310"/>
      <c r="M46" s="83" t="s">
        <v>21</v>
      </c>
      <c r="N46" s="83" t="s">
        <v>107</v>
      </c>
      <c r="O46" s="83" t="s">
        <v>103</v>
      </c>
      <c r="P46" s="83" t="s">
        <v>108</v>
      </c>
      <c r="Q46" s="83" t="s">
        <v>104</v>
      </c>
      <c r="R46" s="83" t="s">
        <v>105</v>
      </c>
      <c r="S46" s="83" t="s">
        <v>109</v>
      </c>
      <c r="T46" s="83" t="s">
        <v>35</v>
      </c>
      <c r="U46" s="83" t="s">
        <v>110</v>
      </c>
      <c r="V46" s="83" t="s">
        <v>111</v>
      </c>
      <c r="W46" s="83" t="s">
        <v>112</v>
      </c>
      <c r="X46" s="95" t="s">
        <v>82</v>
      </c>
      <c r="Y46" s="95" t="s">
        <v>83</v>
      </c>
      <c r="Z46" s="95" t="s">
        <v>84</v>
      </c>
      <c r="AA46" s="95" t="s">
        <v>120</v>
      </c>
      <c r="AB46" s="95" t="s">
        <v>150</v>
      </c>
      <c r="AC46" s="95" t="s">
        <v>151</v>
      </c>
      <c r="AD46" s="95" t="s">
        <v>152</v>
      </c>
    </row>
    <row r="47" spans="1:30">
      <c r="H47" s="55"/>
      <c r="I47" s="55"/>
      <c r="J47" s="55"/>
      <c r="K47" s="55"/>
      <c r="M47" s="60" t="s">
        <v>17</v>
      </c>
      <c r="N47" s="105">
        <f>$F$3/($F$4*IF(ABS('Chemical Properties'!F41)&gt;0,'Chemical Properties'!F41,'Chemical Properties'!F4))</f>
        <v>544.51219512195132</v>
      </c>
      <c r="O47" s="105">
        <f>$F$6/($F$7*IF(ABS('Chemical Properties'!G41)&gt;0,'Chemical Properties'!G41,'Chemical Properties'!G4))</f>
        <v>1.0055555555555558</v>
      </c>
      <c r="P47" s="105">
        <f>IF($N$43&lt;3.25,0.00000278*(IF(ABS('Chemical Properties'!F41)&gt;0,'Chemical Properties'!F41,'Chemical Properties'!F4)/$F$14)^(2/3),IF($N$80&lt;14,IF($N$82&lt;0.3,0.000001+0.0144*$N$82^2.2*N47^(-0.5),0.000001+0.00341*$N$82*N47^(-0.5)),IF($N$80&lt;=51.2,(0.000000002605*$N$80+0.0000001277)*$N$43^2*(IF(ABS('Chemical Properties'!F41)&gt;0,'Chemical Properties'!F41,'Chemical Properties'!F4)/$F$14)^(2/3),0.000000261*$N$43^2*(IF(ABS('Chemical Properties'!F41)&gt;0,'Chemical Properties'!F41,'Chemical Properties'!F4)/$F$14)^(2/3))))</f>
        <v>8.3489900838336326E-6</v>
      </c>
      <c r="Q47" s="105">
        <f t="shared" ref="Q47:Q72" si="3">4.82*10^(-3)*$N$43^(0.78)*O47^(-0.67)*(2*($B$3/3.14)^0.5)^(-0.11)</f>
        <v>1.0304933316215292E-2</v>
      </c>
      <c r="R47" s="105">
        <f>IF($B$13=0,0,(8.22*10^(-9)*$F$10*$B$8*1.024^($B$4-20)*$F$9*10^6*18/($B$13*10.758*$F$4)))*(IF(ABS('Chemical Properties'!F41)&gt;0,'Chemical Properties'!F41,'Chemical Properties'!F4)/0.000024)^(0.5)</f>
        <v>1.9124032212256642E-2</v>
      </c>
      <c r="S47" s="105">
        <f>1.35*10^(-7)*$N$77^(1.42)*$N$76^(0.4)*O47^(0.5)*$N$78^(-0.21)*IF(ABS('Chemical Properties'!G41)&gt;0,'Chemical Properties'!G41,'Chemical Properties'!G4)*29*$F$11^(-1)</f>
        <v>0.13068120238787614</v>
      </c>
      <c r="T47" s="105">
        <f>IF(ABS('Chemical Properties'!E41)&gt;0,'Chemical Properties'!E41,'Chemical Properties'!E4)/($F$5*($B$4+273.15))</f>
        <v>1.8588032616073582E-4</v>
      </c>
      <c r="U47" s="105">
        <f>(R47*T47*S47)/(T47*S47+R47)</f>
        <v>2.4260249510721242E-5</v>
      </c>
      <c r="V47" s="105">
        <f>(P47*T47*Q47)/(T47*Q47+P47)</f>
        <v>1.5580300827710854E-6</v>
      </c>
      <c r="W47" s="105">
        <f t="shared" ref="W47:W72" si="4">(U47*$B$13+V47*$F$8)/$B$3</f>
        <v>1.0824242094179312E-5</v>
      </c>
      <c r="X47" s="105">
        <f t="shared" ref="X47:X72" si="5">(W47*$B$3+($B$12*AA47*$B$15)+($B$6-$B$12))/$B$6</f>
        <v>0.91330589265325912</v>
      </c>
      <c r="Y47" s="105">
        <f>((IF(ABS('Chemical Properties'!J41)&gt;0,'Chemical Properties'!J41,'Chemical Properties'!J4)/$B$6)*(W47*$B$3+($B$12*AA47*$B$15)+($B$6-$B$12))+((IF(ABS('Chemical Properties'!I41)&gt;0,'Chemical Properties'!I41,'Chemical Properties'!I4)*$B$10*$B$3*$B$7)/$B$6)-B19)</f>
        <v>209.82253033879331</v>
      </c>
      <c r="Z47" s="105">
        <f>-IF(ABS('Chemical Properties'!J41)&gt;0,'Chemical Properties'!J41,'Chemical Properties'!J4)*B19</f>
        <v>-90</v>
      </c>
      <c r="AA47" s="105">
        <f>0.000001*$F$15*'Chemical Properties'!N4</f>
        <v>3.0797391926300696E-8</v>
      </c>
      <c r="AB47" s="105">
        <f>($B$6+$B$3*W47+$F$16*$B$14*$B$6*$N$84*AA47)/$B$6</f>
        <v>1.0132626455439691</v>
      </c>
      <c r="AC47" s="105">
        <f>((IF(ABS('Chemical Properties'!J41)&gt;0,'Chemical Properties'!J41,'Chemical Properties'!J4)/$B$6)*(W47*$B$3+($F$16*$B$14*$B$6*$N$84*AA47)+($B$6-$B$12))+((IF(ABS('Chemical Properties'!I41)&gt;0,'Chemical Properties'!I41,'Chemical Properties'!I4)*$B$10*$B$3*$B$7)/$B$6)-B19)</f>
        <v>209.81863809895722</v>
      </c>
      <c r="AD47" s="105">
        <f>-IF(ABS('Chemical Properties'!J41)&gt;0,'Chemical Properties'!J41,'Chemical Properties'!J4)*B19</f>
        <v>-90</v>
      </c>
    </row>
    <row r="48" spans="1:30">
      <c r="H48" s="55"/>
      <c r="I48" s="55"/>
      <c r="J48" s="55"/>
      <c r="K48" s="55"/>
      <c r="M48" s="62" t="s">
        <v>6</v>
      </c>
      <c r="N48" s="105">
        <f>$F$3/($F$4*IF(ABS('Chemical Properties'!F42)&gt;0,'Chemical Properties'!F42,'Chemical Properties'!F5))</f>
        <v>911.22448979591843</v>
      </c>
      <c r="O48" s="105">
        <f>$F$6/($F$7*IF(ABS('Chemical Properties'!G42)&gt;0,'Chemical Properties'!G42,'Chemical Properties'!G5))</f>
        <v>1.714015151515152</v>
      </c>
      <c r="P48" s="105">
        <f>IF($N$43&lt;3.25,0.00000278*(IF(ABS('Chemical Properties'!F42)&gt;0,'Chemical Properties'!F42,'Chemical Properties'!F5)/$F$14)^(2/3),IF($N$80&lt;14,IF($N$82&lt;0.3,0.000001+0.0144*$N$82^2.2*N48^(-0.5),0.000001+0.00341*$N$82*N48^(-0.5)),IF($N$80&lt;=51.2,(0.000000002605*$N$80+0.0000001277)*$N$43^2*(IF(ABS('Chemical Properties'!F42)&gt;0,'Chemical Properties'!F42,'Chemical Properties'!F5)/$F$14)^(2/3),0.000000261*$N$43^2*(IF(ABS('Chemical Properties'!F42)&gt;0,'Chemical Properties'!F42,'Chemical Properties'!F5)/$F$14)^(2/3))))</f>
        <v>6.6809213304666372E-6</v>
      </c>
      <c r="Q48" s="105">
        <f t="shared" si="3"/>
        <v>7.208873962855686E-3</v>
      </c>
      <c r="R48" s="105">
        <f>IF($B$13=0,0,(8.22*10^(-9)*$F$10*$B$8*1.024^($B$4-20)*$F$9*10^6*18/($B$13*10.758*$F$4)))*(IF(ABS('Chemical Properties'!F42)&gt;0,'Chemical Properties'!F42,'Chemical Properties'!F5)/0.000024)^(0.5)</f>
        <v>1.4783272433328172E-2</v>
      </c>
      <c r="S48" s="105">
        <f>1.35*10^(-7)*$N$77^(1.42)*$N$76^(0.4)*O48^(0.5)*$N$78^(-0.21)*IF(ABS('Chemical Properties'!G42)&gt;0,'Chemical Properties'!G42,'Chemical Properties'!G5)*29*$F$11^(-1)</f>
        <v>0.10009418051227593</v>
      </c>
      <c r="T48" s="105">
        <f>IF(ABS('Chemical Properties'!E42)&gt;0,'Chemical Properties'!E42,'Chemical Properties'!E5)/($F$5*($B$4+273.15))</f>
        <v>0.22792954908029947</v>
      </c>
      <c r="U48" s="105">
        <f t="shared" ref="U48:U68" si="6">(R48*T48*S48)/(T48*S48+R48)</f>
        <v>8.9705450720694111E-3</v>
      </c>
      <c r="V48" s="105">
        <f t="shared" ref="V48:V68" si="7">(P48*T48*Q48)/(T48*Q48+P48)</f>
        <v>6.6538666513704814E-6</v>
      </c>
      <c r="W48" s="105">
        <f t="shared" si="4"/>
        <v>3.6653849709036321E-3</v>
      </c>
      <c r="X48" s="105">
        <f t="shared" si="5"/>
        <v>5.4220564736941652</v>
      </c>
      <c r="Y48" s="105">
        <f>((IF(ABS('Chemical Properties'!J42)&gt;0,'Chemical Properties'!J42,'Chemical Properties'!J5)/$B$6)*(W48*$B$3+($B$12*AA48*$B$15)+($B$6-$B$12))+((IF(ABS('Chemical Properties'!I42)&gt;0,'Chemical Properties'!I42,'Chemical Properties'!I5)*$B$10*$B$3*$B$7)/$B$6)-B20)</f>
        <v>208.3558854763256</v>
      </c>
      <c r="Z48" s="105">
        <f>-IF(ABS('Chemical Properties'!J42)&gt;0,'Chemical Properties'!J42,'Chemical Properties'!J5)*B20</f>
        <v>-13.571428571428573</v>
      </c>
      <c r="AA48" s="105">
        <f>0.000001*$F$15*'Chemical Properties'!N5</f>
        <v>2.1306589558143626E-5</v>
      </c>
      <c r="AB48" s="105">
        <f t="shared" ref="AB48:AB72" si="8">($B$6+$B$3*W48+$F$16*$B$14*$B$6*$N$84*AA48)/$B$6</f>
        <v>5.4921367840845985</v>
      </c>
      <c r="AC48" s="105">
        <f>((IF(ABS('Chemical Properties'!J42)&gt;0,'Chemical Properties'!J42,'Chemical Properties'!J5)/$B$6)*(W48*$B$3+($F$16*$B$14*$B$6*$N$84*AA48)+($B$6-$B$12))+((IF(ABS('Chemical Properties'!I42)&gt;0,'Chemical Properties'!I42,'Chemical Properties'!I5)*$B$10*$B$3*$B$7)/$B$6)-B20)</f>
        <v>207.94983254591006</v>
      </c>
      <c r="AD48" s="105">
        <f>-IF(ABS('Chemical Properties'!J42)&gt;0,'Chemical Properties'!J42,'Chemical Properties'!J5)*B20</f>
        <v>-13.571428571428573</v>
      </c>
    </row>
    <row r="49" spans="5:30">
      <c r="E49" s="311"/>
      <c r="F49" s="312"/>
      <c r="G49" s="312"/>
      <c r="H49" s="55"/>
      <c r="I49" s="55"/>
      <c r="J49" s="55"/>
      <c r="K49" s="55"/>
      <c r="M49" s="62" t="s">
        <v>13</v>
      </c>
      <c r="N49" s="105">
        <f>$F$3/($F$4*IF(ABS('Chemical Properties'!F43)&gt;0,'Chemical Properties'!F43,'Chemical Properties'!F6))</f>
        <v>893</v>
      </c>
      <c r="O49" s="105">
        <f>$F$6/($F$7*IF(ABS('Chemical Properties'!G43)&gt;0,'Chemical Properties'!G43,'Chemical Properties'!G6))</f>
        <v>1.4503205128205132</v>
      </c>
      <c r="P49" s="105">
        <f>IF($N$43&lt;3.25,0.00000278*(IF(ABS('Chemical Properties'!F43)&gt;0,'Chemical Properties'!F43,'Chemical Properties'!F6)/$F$14)^(2/3),IF($N$80&lt;14,IF($N$82&lt;0.3,0.000001+0.0144*$N$82^2.2*N49^(-0.5),0.000001+0.00341*$N$82*N49^(-0.5)),IF($N$80&lt;=51.2,(0.000000002605*$N$80+0.0000001277)*$N$43^2*(IF(ABS('Chemical Properties'!F43)&gt;0,'Chemical Properties'!F43,'Chemical Properties'!F6)/$F$14)^(2/3),0.000000261*$N$43^2*(IF(ABS('Chemical Properties'!F43)&gt;0,'Chemical Properties'!F43,'Chemical Properties'!F6)/$F$14)^(2/3))))</f>
        <v>6.7385971373718054E-6</v>
      </c>
      <c r="Q49" s="105">
        <f t="shared" si="3"/>
        <v>8.0626234907690639E-3</v>
      </c>
      <c r="R49" s="105">
        <f>IF($B$13=0,0,(8.22*10^(-9)*$F$10*$B$8*1.024^($B$4-20)*$F$9*10^6*18/($B$13*10.758*$F$4)))*(IF(ABS('Chemical Properties'!F43)&gt;0,'Chemical Properties'!F43,'Chemical Properties'!F6)/0.000024)^(0.5)</f>
        <v>1.4933360265335007E-2</v>
      </c>
      <c r="S49" s="105">
        <f>1.35*10^(-7)*$N$77^(1.42)*$N$76^(0.4)*O49^(0.5)*$N$78^(-0.21)*IF(ABS('Chemical Properties'!G43)&gt;0,'Chemical Properties'!G43,'Chemical Properties'!G6)*29*$F$11^(-1)</f>
        <v>0.10881384631207766</v>
      </c>
      <c r="T49" s="105">
        <f>IF(ABS('Chemical Properties'!E43)&gt;0,'Chemical Properties'!E43,'Chemical Properties'!E6)/($F$5*($B$4+273.15))</f>
        <v>1.234720891796967</v>
      </c>
      <c r="U49" s="105">
        <f t="shared" si="6"/>
        <v>1.3439568969750158E-2</v>
      </c>
      <c r="V49" s="105">
        <f t="shared" si="7"/>
        <v>6.7340388685302903E-6</v>
      </c>
      <c r="W49" s="105">
        <f t="shared" si="4"/>
        <v>5.4895238065753166E-3</v>
      </c>
      <c r="X49" s="105">
        <f t="shared" si="5"/>
        <v>7.6483588526247344</v>
      </c>
      <c r="Y49" s="105">
        <f>((IF(ABS('Chemical Properties'!J43)&gt;0,'Chemical Properties'!J43,'Chemical Properties'!J6)/$B$6)*(W49*$B$3+($B$12*AA49*$B$15)+($B$6-$B$12))+((IF(ABS('Chemical Properties'!I43)&gt;0,'Chemical Properties'!I43,'Chemical Properties'!I6)*$B$10*$B$3*$B$7)/$B$6)-B21)</f>
        <v>239.28579047431106</v>
      </c>
      <c r="Z49" s="105">
        <f>-IF(ABS('Chemical Properties'!J43)&gt;0,'Chemical Properties'!J43,'Chemical Properties'!J6)*B21</f>
        <v>-17.121913733084138</v>
      </c>
      <c r="AA49" s="105">
        <f>0.000001*$F$15*'Chemical Properties'!N6</f>
        <v>1.5794793046647074E-5</v>
      </c>
      <c r="AB49" s="105">
        <f t="shared" si="8"/>
        <v>7.726179080300617</v>
      </c>
      <c r="AC49" s="105">
        <f>((IF(ABS('Chemical Properties'!J43)&gt;0,'Chemical Properties'!J43,'Chemical Properties'!J6)/$B$6)*(W49*$B$3+($F$16*$B$14*$B$6*$N$84*AA49)+($B$6-$B$12))+((IF(ABS('Chemical Properties'!I43)&gt;0,'Chemical Properties'!I43,'Chemical Properties'!I6)*$B$10*$B$3*$B$7)/$B$6)-B21)</f>
        <v>238.90603032595808</v>
      </c>
      <c r="AD49" s="105">
        <f>-IF(ABS('Chemical Properties'!J43)&gt;0,'Chemical Properties'!J43,'Chemical Properties'!J6)*B21</f>
        <v>-17.121913733084138</v>
      </c>
    </row>
    <row r="50" spans="5:30">
      <c r="E50" s="122"/>
      <c r="F50" s="114"/>
      <c r="G50" s="115"/>
      <c r="M50" s="60" t="s">
        <v>69</v>
      </c>
      <c r="N50" s="105">
        <f>$F$3/($F$4*IF(ABS('Chemical Properties'!F44)&gt;0,'Chemical Properties'!F44,'Chemical Properties'!F7))</f>
        <v>911.22448979591843</v>
      </c>
      <c r="O50" s="105">
        <f>$F$6/($F$7*IF(ABS('Chemical Properties'!G44)&gt;0,'Chemical Properties'!G44,'Chemical Properties'!G7))</f>
        <v>1.866749174917492</v>
      </c>
      <c r="P50" s="105">
        <f>IF($N$43&lt;3.25,0.00000278*(IF(ABS('Chemical Properties'!F44)&gt;0,'Chemical Properties'!F44,'Chemical Properties'!F7)/$F$14)^(2/3),IF($N$80&lt;14,IF($N$82&lt;0.3,0.000001+0.0144*$N$82^2.2*N50^(-0.5),0.000001+0.00341*$N$82*N50^(-0.5)),IF($N$80&lt;=51.2,(0.000000002605*$N$80+0.0000001277)*$N$43^2*(IF(ABS('Chemical Properties'!F44)&gt;0,'Chemical Properties'!F44,'Chemical Properties'!F7)/$F$14)^(2/3),0.000000261*$N$43^2*(IF(ABS('Chemical Properties'!F44)&gt;0,'Chemical Properties'!F44,'Chemical Properties'!F7)/$F$14)^(2/3))))</f>
        <v>6.6809213304666372E-6</v>
      </c>
      <c r="Q50" s="105">
        <f t="shared" si="3"/>
        <v>6.8081584369146389E-3</v>
      </c>
      <c r="R50" s="105">
        <f>IF($B$13=0,0,(8.22*10^(-9)*$F$10*$B$8*1.024^($B$4-20)*$F$9*10^6*18/($B$13*10.758*$F$4)))*(IF(ABS('Chemical Properties'!F44)&gt;0,'Chemical Properties'!F44,'Chemical Properties'!F7)/0.000024)^(0.5)</f>
        <v>1.4783272433328172E-2</v>
      </c>
      <c r="S50" s="105">
        <f>1.35*10^(-7)*$N$77^(1.42)*$N$76^(0.4)*O50^(0.5)*$N$78^(-0.21)*IF(ABS('Chemical Properties'!G44)&gt;0,'Chemical Properties'!G44,'Chemical Properties'!G7)*29*$F$11^(-1)</f>
        <v>9.5912049779274922E-2</v>
      </c>
      <c r="T50" s="105">
        <f>IF(ABS('Chemical Properties'!E44)&gt;0,'Chemical Properties'!E44,'Chemical Properties'!E7)/($F$5*($B$4+273.15))</f>
        <v>2.2836725785461832E-3</v>
      </c>
      <c r="U50" s="105">
        <f t="shared" si="6"/>
        <v>2.158338830191783E-4</v>
      </c>
      <c r="V50" s="105">
        <f t="shared" si="7"/>
        <v>4.6729290012907968E-6</v>
      </c>
      <c r="W50" s="105">
        <f t="shared" si="4"/>
        <v>9.0861073498387738E-5</v>
      </c>
      <c r="X50" s="105">
        <f t="shared" si="5"/>
        <v>1.0117562604010062</v>
      </c>
      <c r="Y50" s="105">
        <f>((IF(ABS('Chemical Properties'!J44)&gt;0,'Chemical Properties'!J44,'Chemical Properties'!J7)/$B$6)*(W50*$B$3+($B$12*AA50*$B$15)+($B$6-$B$12))+((IF(ABS('Chemical Properties'!I44)&gt;0,'Chemical Properties'!I44,'Chemical Properties'!I7)*$B$10*$B$3*$B$7)/$B$6)-B22)</f>
        <v>23.409229270676725</v>
      </c>
      <c r="Z50" s="105">
        <f>-IF(ABS('Chemical Properties'!J44)&gt;0,'Chemical Properties'!J44,'Chemical Properties'!J7)*B22</f>
        <v>-10</v>
      </c>
      <c r="AA50" s="105">
        <f>0.000001*$F$15*'Chemical Properties'!N7</f>
        <v>3.0096357698745028E-7</v>
      </c>
      <c r="AB50" s="105">
        <f t="shared" si="8"/>
        <v>1.1113336335520363</v>
      </c>
      <c r="AC50" s="105">
        <f>((IF(ABS('Chemical Properties'!J44)&gt;0,'Chemical Properties'!J44,'Chemical Properties'!J7)/$B$6)*(W50*$B$3+($F$16*$B$14*$B$6*$N$84*AA50)+($B$6-$B$12))+((IF(ABS('Chemical Properties'!I44)&gt;0,'Chemical Properties'!I44,'Chemical Properties'!I7)*$B$10*$B$3*$B$7)/$B$6)-B22)</f>
        <v>23.40500300218703</v>
      </c>
      <c r="AD50" s="105">
        <f>-IF(ABS('Chemical Properties'!J44)&gt;0,'Chemical Properties'!J44,'Chemical Properties'!J7)*B22</f>
        <v>-10</v>
      </c>
    </row>
    <row r="51" spans="5:30">
      <c r="E51" s="123"/>
      <c r="F51" s="114"/>
      <c r="G51" s="115"/>
      <c r="M51" s="62" t="s">
        <v>9</v>
      </c>
      <c r="N51" s="105">
        <f>$F$3/($F$4*IF(ABS('Chemical Properties'!F45)&gt;0,'Chemical Properties'!F45,'Chemical Properties'!F8))</f>
        <v>1190.6666666666667</v>
      </c>
      <c r="O51" s="105">
        <f>$F$6/($F$7*IF(ABS('Chemical Properties'!G45)&gt;0,'Chemical Properties'!G45,'Chemical Properties'!G8))</f>
        <v>2.5564971751412435</v>
      </c>
      <c r="P51" s="105">
        <f>IF($N$43&lt;3.25,0.00000278*(IF(ABS('Chemical Properties'!F45)&gt;0,'Chemical Properties'!F45,'Chemical Properties'!F8)/$F$14)^(2/3),IF($N$80&lt;14,IF($N$82&lt;0.3,0.000001+0.0144*$N$82^2.2*N51^(-0.5),0.000001+0.00341*$N$82*N51^(-0.5)),IF($N$80&lt;=51.2,(0.000000002605*$N$80+0.0000001277)*$N$43^2*(IF(ABS('Chemical Properties'!F45)&gt;0,'Chemical Properties'!F45,'Chemical Properties'!F8)/$F$14)^(2/3),0.000000261*$N$43^2*(IF(ABS('Chemical Properties'!F45)&gt;0,'Chemical Properties'!F45,'Chemical Properties'!F8)/$F$14)^(2/3))))</f>
        <v>5.9697709030486409E-6</v>
      </c>
      <c r="Q51" s="105">
        <f t="shared" si="3"/>
        <v>5.5148650549823814E-3</v>
      </c>
      <c r="R51" s="105">
        <f>IF($B$13=0,0,(8.22*10^(-9)*$F$10*$B$8*1.024^($B$4-20)*$F$9*10^6*18/($B$13*10.758*$F$4)))*(IF(ABS('Chemical Properties'!F45)&gt;0,'Chemical Properties'!F45,'Chemical Properties'!F8)/0.000024)^(0.5)</f>
        <v>1.2932669353645242E-2</v>
      </c>
      <c r="S51" s="105">
        <f>1.35*10^(-7)*$N$77^(1.42)*$N$76^(0.4)*O51^(0.5)*$N$78^(-0.21)*IF(ABS('Chemical Properties'!G45)&gt;0,'Chemical Properties'!G45,'Chemical Properties'!G8)*29*$F$11^(-1)</f>
        <v>8.195840501111612E-2</v>
      </c>
      <c r="T51" s="105">
        <f>IF(ABS('Chemical Properties'!E45)&gt;0,'Chemical Properties'!E45,'Chemical Properties'!E8)/($F$5*($B$4+273.15))</f>
        <v>1.9731911546293494E-2</v>
      </c>
      <c r="U51" s="105">
        <f t="shared" si="6"/>
        <v>1.4374470566207002E-3</v>
      </c>
      <c r="V51" s="105">
        <f t="shared" si="7"/>
        <v>5.6593030994180536E-6</v>
      </c>
      <c r="W51" s="105">
        <f t="shared" si="4"/>
        <v>5.9006246780198219E-4</v>
      </c>
      <c r="X51" s="105">
        <f t="shared" si="5"/>
        <v>2.1655832301483056</v>
      </c>
      <c r="Y51" s="105">
        <f>((IF(ABS('Chemical Properties'!J45)&gt;0,'Chemical Properties'!J45,'Chemical Properties'!J8)/$B$6)*(W51*$B$3+($B$12*AA51*$B$15)+($B$6-$B$12))+((IF(ABS('Chemical Properties'!I45)&gt;0,'Chemical Properties'!I45,'Chemical Properties'!I8)*$B$10*$B$3*$B$7)/$B$6)-B23)</f>
        <v>394.45586145106529</v>
      </c>
      <c r="Z51" s="105">
        <f>-IF(ABS('Chemical Properties'!J45)&gt;0,'Chemical Properties'!J45,'Chemical Properties'!J8)*B23</f>
        <v>-42.47</v>
      </c>
      <c r="AA51" s="105">
        <f>0.000001*$F$15*'Chemical Properties'!N8</f>
        <v>3.6183780472725152E-4</v>
      </c>
      <c r="AB51" s="105">
        <f t="shared" si="8"/>
        <v>1.7574740005175822</v>
      </c>
      <c r="AC51" s="105">
        <f>((IF(ABS('Chemical Properties'!J45)&gt;0,'Chemical Properties'!J45,'Chemical Properties'!J8)/$B$6)*(W51*$B$3+($F$16*$B$14*$B$6*$N$84*AA51)+($B$6-$B$12))+((IF(ABS('Chemical Properties'!I45)&gt;0,'Chemical Properties'!I45,'Chemical Properties'!I8)*$B$10*$B$3*$B$7)/$B$6)-B23)</f>
        <v>372.87646246864847</v>
      </c>
      <c r="AD51" s="105">
        <f>-IF(ABS('Chemical Properties'!J45)&gt;0,'Chemical Properties'!J45,'Chemical Properties'!J8)*B23</f>
        <v>-42.47</v>
      </c>
    </row>
    <row r="52" spans="5:30">
      <c r="E52" s="123"/>
      <c r="F52" s="114"/>
      <c r="G52" s="115"/>
      <c r="M52" s="63" t="s">
        <v>7</v>
      </c>
      <c r="N52" s="105">
        <f>$F$3/($F$4*IF(ABS('Chemical Properties'!F46)&gt;0,'Chemical Properties'!F46,'Chemical Properties'!F9))</f>
        <v>1257.7464788732395</v>
      </c>
      <c r="O52" s="105">
        <f>$F$6/($F$7*IF(ABS('Chemical Properties'!G46)&gt;0,'Chemical Properties'!G46,'Chemical Properties'!G9))</f>
        <v>1.7538759689922483</v>
      </c>
      <c r="P52" s="105">
        <f>IF($N$43&lt;3.25,0.00000278*(IF(ABS('Chemical Properties'!F46)&gt;0,'Chemical Properties'!F46,'Chemical Properties'!F9)/$F$14)^(2/3),IF($N$80&lt;14,IF($N$82&lt;0.3,0.000001+0.0144*$N$82^2.2*N52^(-0.5),0.000001+0.00341*$N$82*N52^(-0.5)),IF($N$80&lt;=51.2,(0.000000002605*$N$80+0.0000001277)*$N$43^2*(IF(ABS('Chemical Properties'!F46)&gt;0,'Chemical Properties'!F46,'Chemical Properties'!F9)/$F$14)^(2/3),0.000000261*$N$43^2*(IF(ABS('Chemical Properties'!F46)&gt;0,'Chemical Properties'!F46,'Chemical Properties'!F9)/$F$14)^(2/3))))</f>
        <v>5.8354278967415931E-6</v>
      </c>
      <c r="Q52" s="105">
        <f t="shared" si="3"/>
        <v>7.098686626509941E-3</v>
      </c>
      <c r="R52" s="105">
        <f>IF($B$13=0,0,(8.22*10^(-9)*$F$10*$B$8*1.024^($B$4-20)*$F$9*10^6*18/($B$13*10.758*$F$4)))*(IF(ABS('Chemical Properties'!F46)&gt;0,'Chemical Properties'!F46,'Chemical Properties'!F9)/0.000024)^(0.5)</f>
        <v>1.2583073021251343E-2</v>
      </c>
      <c r="S52" s="105">
        <f>1.35*10^(-7)*$N$77^(1.42)*$N$76^(0.4)*O52^(0.5)*$N$78^(-0.21)*IF(ABS('Chemical Properties'!G46)&gt;0,'Chemical Properties'!G46,'Chemical Properties'!G9)*29*$F$11^(-1)</f>
        <v>9.8950209450629892E-2</v>
      </c>
      <c r="T52" s="105">
        <f>IF(ABS('Chemical Properties'!E46)&gt;0,'Chemical Properties'!E46,'Chemical Properties'!E9)/($F$5*($B$4+273.15))</f>
        <v>0.59645115647181168</v>
      </c>
      <c r="U52" s="105">
        <f t="shared" si="6"/>
        <v>1.0371771123696059E-2</v>
      </c>
      <c r="V52" s="105">
        <f t="shared" si="7"/>
        <v>5.8273964389385035E-6</v>
      </c>
      <c r="W52" s="105">
        <f t="shared" si="4"/>
        <v>4.2368248361357224E-3</v>
      </c>
      <c r="X52" s="105">
        <f t="shared" si="5"/>
        <v>6.9908623492782027</v>
      </c>
      <c r="Y52" s="105">
        <f>((IF(ABS('Chemical Properties'!J46)&gt;0,'Chemical Properties'!J46,'Chemical Properties'!J9)/$B$6)*(W52*$B$3+($B$12*AA52*$B$15)+($B$6-$B$12))+((IF(ABS('Chemical Properties'!I46)&gt;0,'Chemical Properties'!I46,'Chemical Properties'!I9)*$B$10*$B$3*$B$7)/$B$6)-B24)</f>
        <v>296.71323532289546</v>
      </c>
      <c r="Z52" s="105">
        <f>-IF(ABS('Chemical Properties'!J46)&gt;0,'Chemical Properties'!J46,'Chemical Properties'!J9)*B24</f>
        <v>-10.796639224919337</v>
      </c>
      <c r="AA52" s="105">
        <f>0.000001*$F$15*'Chemical Properties'!N9</f>
        <v>6.0050128334129512E-4</v>
      </c>
      <c r="AB52" s="105">
        <f t="shared" si="8"/>
        <v>6.2476109242348699</v>
      </c>
      <c r="AC52" s="105">
        <f>((IF(ABS('Chemical Properties'!J46)&gt;0,'Chemical Properties'!J46,'Chemical Properties'!J9)/$B$6)*(W52*$B$3+($F$16*$B$14*$B$6*$N$84*AA52)+($B$6-$B$12))+((IF(ABS('Chemical Properties'!I46)&gt;0,'Chemical Properties'!I46,'Chemical Properties'!I9)*$B$10*$B$3*$B$7)/$B$6)-B24)</f>
        <v>287.60895391080351</v>
      </c>
      <c r="AD52" s="105">
        <f>-IF(ABS('Chemical Properties'!J46)&gt;0,'Chemical Properties'!J46,'Chemical Properties'!J9)*B24</f>
        <v>-10.796639224919337</v>
      </c>
    </row>
    <row r="53" spans="5:30">
      <c r="E53" s="122"/>
      <c r="F53" s="114"/>
      <c r="G53" s="115"/>
      <c r="M53" s="62" t="s">
        <v>8</v>
      </c>
      <c r="N53" s="105">
        <f>$F$3/($F$4*IF(ABS('Chemical Properties'!F47)&gt;0,'Chemical Properties'!F47,'Chemical Properties'!F10))</f>
        <v>1144.8717948717949</v>
      </c>
      <c r="O53" s="105">
        <f>$F$6/($F$7*IF(ABS('Chemical Properties'!G47)&gt;0,'Chemical Properties'!G47,'Chemical Properties'!G10))</f>
        <v>2.0111111111111115</v>
      </c>
      <c r="P53" s="105">
        <f>IF($N$43&lt;3.25,0.00000278*(IF(ABS('Chemical Properties'!F47)&gt;0,'Chemical Properties'!F47,'Chemical Properties'!F10)/$F$14)^(2/3),IF($N$80&lt;14,IF($N$82&lt;0.3,0.000001+0.0144*$N$82^2.2*N53^(-0.5),0.000001+0.00341*$N$82*N53^(-0.5)),IF($N$80&lt;=51.2,(0.000000002605*$N$80+0.0000001277)*$N$43^2*(IF(ABS('Chemical Properties'!F47)&gt;0,'Chemical Properties'!F47,'Chemical Properties'!F10)/$F$14)^(2/3),0.000000261*$N$43^2*(IF(ABS('Chemical Properties'!F47)&gt;0,'Chemical Properties'!F47,'Chemical Properties'!F10)/$F$14)^(2/3))))</f>
        <v>6.0681917625461314E-6</v>
      </c>
      <c r="Q53" s="105">
        <f t="shared" si="3"/>
        <v>6.4767195010191E-3</v>
      </c>
      <c r="R53" s="105">
        <f>IF($B$13=0,0,(8.22*10^(-9)*$F$10*$B$8*1.024^($B$4-20)*$F$9*10^6*18/($B$13*10.758*$F$4)))*(IF(ABS('Chemical Properties'!F47)&gt;0,'Chemical Properties'!F47,'Chemical Properties'!F10)/0.000024)^(0.5)</f>
        <v>1.3188786679416096E-2</v>
      </c>
      <c r="S53" s="105">
        <f>1.35*10^(-7)*$N$77^(1.42)*$N$76^(0.4)*O53^(0.5)*$N$78^(-0.21)*IF(ABS('Chemical Properties'!G47)&gt;0,'Chemical Properties'!G47,'Chemical Properties'!G10)*29*$F$11^(-1)</f>
        <v>9.2405564382078864E-2</v>
      </c>
      <c r="T53" s="105">
        <f>IF(ABS('Chemical Properties'!E47)&gt;0,'Chemical Properties'!E47,'Chemical Properties'!E10)/($F$5*($B$4+273.15))</f>
        <v>0.32192021321903264</v>
      </c>
      <c r="U53" s="105">
        <f t="shared" si="6"/>
        <v>9.1375459696845102E-3</v>
      </c>
      <c r="V53" s="105">
        <f t="shared" si="7"/>
        <v>6.0505820156715233E-6</v>
      </c>
      <c r="W53" s="105">
        <f t="shared" si="4"/>
        <v>3.7331915565743806E-3</v>
      </c>
      <c r="X53" s="105">
        <f t="shared" si="5"/>
        <v>5.8002029135673769</v>
      </c>
      <c r="Y53" s="105">
        <f>((IF(ABS('Chemical Properties'!J47)&gt;0,'Chemical Properties'!J47,'Chemical Properties'!J10)/$B$6)*(W53*$B$3+($B$12*AA53*$B$15)+($B$6-$B$12))+((IF(ABS('Chemical Properties'!I47)&gt;0,'Chemical Properties'!I47,'Chemical Properties'!I10)*$B$10*$B$3*$B$7)/$B$6)-B25)</f>
        <v>66.373276101075319</v>
      </c>
      <c r="Z53" s="105">
        <f>-IF(ABS('Chemical Properties'!J47)&gt;0,'Chemical Properties'!J47,'Chemical Properties'!J10)*B25</f>
        <v>-3.2380952380952377</v>
      </c>
      <c r="AA53" s="105">
        <f>0.000001*$F$15*'Chemical Properties'!N10</f>
        <v>2.1802883784250701E-4</v>
      </c>
      <c r="AB53" s="105">
        <f t="shared" si="8"/>
        <v>5.5940368264805276</v>
      </c>
      <c r="AC53" s="105">
        <f>((IF(ABS('Chemical Properties'!J47)&gt;0,'Chemical Properties'!J47,'Chemical Properties'!J10)/$B$6)*(W53*$B$3+($F$16*$B$14*$B$6*$N$84*AA53)+($B$6-$B$12))+((IF(ABS('Chemical Properties'!I47)&gt;0,'Chemical Properties'!I47,'Chemical Properties'!I10)*$B$10*$B$3*$B$7)/$B$6)-B25)</f>
        <v>65.381881152413143</v>
      </c>
      <c r="AD53" s="105">
        <f>-IF(ABS('Chemical Properties'!J47)&gt;0,'Chemical Properties'!J47,'Chemical Properties'!J10)*B25</f>
        <v>-3.2380952380952377</v>
      </c>
    </row>
    <row r="54" spans="5:30">
      <c r="E54" s="123"/>
      <c r="F54" s="114"/>
      <c r="G54" s="115"/>
      <c r="M54" s="62" t="s">
        <v>11</v>
      </c>
      <c r="N54" s="105">
        <f>$F$3/($F$4*IF(ABS('Chemical Properties'!F48)&gt;0,'Chemical Properties'!F48,'Chemical Properties'!F11))</f>
        <v>1116.25</v>
      </c>
      <c r="O54" s="105">
        <f>$F$6/($F$7*IF(ABS('Chemical Properties'!G48)&gt;0,'Chemical Properties'!G48,'Chemical Properties'!G11))</f>
        <v>2.1244131455399065</v>
      </c>
      <c r="P54" s="105">
        <f>IF($N$43&lt;3.25,0.00000278*(IF(ABS('Chemical Properties'!F48)&gt;0,'Chemical Properties'!F48,'Chemical Properties'!F11)/$F$14)^(2/3),IF($N$80&lt;14,IF($N$82&lt;0.3,0.000001+0.0144*$N$82^2.2*N54^(-0.5),0.000001+0.00341*$N$82*N54^(-0.5)),IF($N$80&lt;=51.2,(0.000000002605*$N$80+0.0000001277)*$N$43^2*(IF(ABS('Chemical Properties'!F48)&gt;0,'Chemical Properties'!F48,'Chemical Properties'!F11)/$F$14)^(2/3),0.000000261*$N$43^2*(IF(ABS('Chemical Properties'!F48)&gt;0,'Chemical Properties'!F48,'Chemical Properties'!F11)/$F$14)^(2/3))))</f>
        <v>6.1327573178596216E-6</v>
      </c>
      <c r="Q54" s="105">
        <f t="shared" si="3"/>
        <v>6.2431983919731052E-3</v>
      </c>
      <c r="R54" s="105">
        <f>IF($B$13=0,0,(8.22*10^(-9)*$F$10*$B$8*1.024^($B$4-20)*$F$9*10^6*18/($B$13*10.758*$F$4)))*(IF(ABS('Chemical Properties'!F48)&gt;0,'Chemical Properties'!F48,'Chemical Properties'!F11)/0.000024)^(0.5)</f>
        <v>1.3356803474313348E-2</v>
      </c>
      <c r="S54" s="105">
        <f>1.35*10^(-7)*$N$77^(1.42)*$N$76^(0.4)*O54^(0.5)*$N$78^(-0.21)*IF(ABS('Chemical Properties'!G48)&gt;0,'Chemical Properties'!G48,'Chemical Properties'!G11)*29*$F$11^(-1)</f>
        <v>8.9907654204574985E-2</v>
      </c>
      <c r="T54" s="105">
        <f>IF(ABS('Chemical Properties'!E48)&gt;0,'Chemical Properties'!E48,'Chemical Properties'!E11)/($F$5*($B$4+273.15))</f>
        <v>0.11234525207517</v>
      </c>
      <c r="U54" s="105">
        <f t="shared" si="6"/>
        <v>5.7513814443661999E-3</v>
      </c>
      <c r="V54" s="105">
        <f t="shared" si="7"/>
        <v>6.0795992880999763E-6</v>
      </c>
      <c r="W54" s="105">
        <f t="shared" si="4"/>
        <v>2.3511007605444673E-3</v>
      </c>
      <c r="X54" s="105">
        <f t="shared" si="5"/>
        <v>3.9864487764847887</v>
      </c>
      <c r="Y54" s="105">
        <f>((IF(ABS('Chemical Properties'!J48)&gt;0,'Chemical Properties'!J48,'Chemical Properties'!J11)/$B$6)*(W54*$B$3+($B$12*AA54*$B$15)+($B$6-$B$12))+((IF(ABS('Chemical Properties'!I48)&gt;0,'Chemical Properties'!I48,'Chemical Properties'!I11)*$B$10*$B$3*$B$7)/$B$6)-B26)</f>
        <v>1348.3132071091843</v>
      </c>
      <c r="Z54" s="105">
        <f>-IF(ABS('Chemical Properties'!J48)&gt;0,'Chemical Properties'!J48,'Chemical Properties'!J11)*B26</f>
        <v>-282.72727272727275</v>
      </c>
      <c r="AA54" s="105">
        <f>0.000001*$F$15*'Chemical Properties'!N11</f>
        <v>1.3756689654521078E-4</v>
      </c>
      <c r="AB54" s="105">
        <f t="shared" si="8"/>
        <v>3.8932710352065789</v>
      </c>
      <c r="AC54" s="105">
        <f>((IF(ABS('Chemical Properties'!J48)&gt;0,'Chemical Properties'!J48,'Chemical Properties'!J11)/$B$6)*(W54*$B$3+($F$16*$B$14*$B$6*$N$84*AA54)+($B$6-$B$12))+((IF(ABS('Chemical Properties'!I48)&gt;0,'Chemical Properties'!I48,'Chemical Properties'!I11)*$B$10*$B$3*$B$7)/$B$6)-B26)</f>
        <v>1293.6965911659813</v>
      </c>
      <c r="AD54" s="105">
        <f>-IF(ABS('Chemical Properties'!J48)&gt;0,'Chemical Properties'!J48,'Chemical Properties'!J11)*B26</f>
        <v>-282.72727272727275</v>
      </c>
    </row>
    <row r="55" spans="5:30">
      <c r="E55" s="124"/>
      <c r="F55" s="114"/>
      <c r="G55" s="115"/>
      <c r="M55" s="63" t="s">
        <v>70</v>
      </c>
      <c r="N55" s="105">
        <f>$F$3/($F$4*IF(ABS('Chemical Properties'!F49)&gt;0,'Chemical Properties'!F49,'Chemical Properties'!F12))</f>
        <v>826.85185185185185</v>
      </c>
      <c r="O55" s="105">
        <f>$F$6/($F$7*IF(ABS('Chemical Properties'!G49)&gt;0,'Chemical Properties'!G49,'Chemical Properties'!G12))</f>
        <v>0.60575635876840694</v>
      </c>
      <c r="P55" s="105">
        <f>IF($N$43&lt;3.25,0.00000278*(IF(ABS('Chemical Properties'!F49)&gt;0,'Chemical Properties'!F49,'Chemical Properties'!F12)/$F$14)^(2/3),IF($N$80&lt;14,IF($N$82&lt;0.3,0.000001+0.0144*$N$82^2.2*N55^(-0.5),0.000001+0.00341*$N$82*N55^(-0.5)),IF($N$80&lt;=51.2,(0.000000002605*$N$80+0.0000001277)*$N$43^2*(IF(ABS('Chemical Properties'!F49)&gt;0,'Chemical Properties'!F49,'Chemical Properties'!F12)/$F$14)^(2/3),0.000000261*$N$43^2*(IF(ABS('Chemical Properties'!F49)&gt;0,'Chemical Properties'!F49,'Chemical Properties'!F12)/$F$14)^(2/3))))</f>
        <v>6.9637250836583694E-6</v>
      </c>
      <c r="Q55" s="105">
        <f t="shared" si="3"/>
        <v>1.4471635148152844E-2</v>
      </c>
      <c r="R55" s="105">
        <f>IF($B$13=0,0,(8.22*10^(-9)*$F$10*$B$8*1.024^($B$4-20)*$F$9*10^6*18/($B$13*10.758*$F$4)))*(IF(ABS('Chemical Properties'!F49)&gt;0,'Chemical Properties'!F49,'Chemical Properties'!F12)/0.000024)^(0.5)</f>
        <v>1.551920322437429E-2</v>
      </c>
      <c r="S55" s="105">
        <f>1.35*10^(-7)*$N$77^(1.42)*$N$76^(0.4)*O55^(0.5)*$N$78^(-0.21)*IF(ABS('Chemical Properties'!G49)&gt;0,'Chemical Properties'!G49,'Chemical Properties'!G12)*29*$F$11^(-1)</f>
        <v>0.16837095132925431</v>
      </c>
      <c r="T55" s="105">
        <f>IF(ABS('Chemical Properties'!E49)&gt;0,'Chemical Properties'!E49,'Chemical Properties'!E12)/($F$5*($B$4+273.15))</f>
        <v>3.0067674737209136</v>
      </c>
      <c r="U55" s="105">
        <f t="shared" si="6"/>
        <v>1.5057611000111283E-2</v>
      </c>
      <c r="V55" s="105">
        <f t="shared" si="7"/>
        <v>6.9626107986473412E-6</v>
      </c>
      <c r="W55" s="105">
        <f t="shared" si="4"/>
        <v>6.1500844023548249E-3</v>
      </c>
      <c r="X55" s="105">
        <f t="shared" si="5"/>
        <v>8.4570062823783765</v>
      </c>
      <c r="Y55" s="105">
        <f>((IF(ABS('Chemical Properties'!J49)&gt;0,'Chemical Properties'!J49,'Chemical Properties'!J12)/$B$6)*(W55*$B$3+($B$12*AA55*$B$15)+($B$6-$B$12))+((IF(ABS('Chemical Properties'!I49)&gt;0,'Chemical Properties'!I49,'Chemical Properties'!I12)*$B$10*$B$3*$B$7)/$B$6)-B27)</f>
        <v>294.77455754293555</v>
      </c>
      <c r="Z55" s="105">
        <f>-IF(ABS('Chemical Properties'!J49)&gt;0,'Chemical Properties'!J49,'Chemical Properties'!J12)*B27</f>
        <v>-22.046017386959047</v>
      </c>
      <c r="AA55" s="105">
        <f>0.000001*$F$15*'Chemical Properties'!N12</f>
        <v>1.5435259662477542E-5</v>
      </c>
      <c r="AB55" s="105">
        <f t="shared" si="8"/>
        <v>8.5353313833109254</v>
      </c>
      <c r="AC55" s="105">
        <f>((IF(ABS('Chemical Properties'!J49)&gt;0,'Chemical Properties'!J49,'Chemical Properties'!J12)/$B$6)*(W55*$B$3+($F$16*$B$14*$B$6*$N$84*AA55)+($B$6-$B$12))+((IF(ABS('Chemical Properties'!I49)&gt;0,'Chemical Properties'!I49,'Chemical Properties'!I12)*$B$10*$B$3*$B$7)/$B$6)-B27)</f>
        <v>294.29671234123396</v>
      </c>
      <c r="AD55" s="105">
        <f>-IF(ABS('Chemical Properties'!J49)&gt;0,'Chemical Properties'!J49,'Chemical Properties'!J12)*B27</f>
        <v>-22.046017386959047</v>
      </c>
    </row>
    <row r="56" spans="5:30">
      <c r="E56" s="123"/>
      <c r="F56" s="114"/>
      <c r="G56" s="115"/>
      <c r="M56" s="63" t="s">
        <v>16</v>
      </c>
      <c r="N56" s="105">
        <f>$F$3/($F$4*IF(ABS('Chemical Properties'!F50)&gt;0,'Chemical Properties'!F50,'Chemical Properties'!F13))</f>
        <v>633.33333333333337</v>
      </c>
      <c r="O56" s="105">
        <f>$F$6/($F$7*IF(ABS('Chemical Properties'!G50)&gt;0,'Chemical Properties'!G50,'Chemical Properties'!G13))</f>
        <v>0.98829984034316398</v>
      </c>
      <c r="P56" s="105">
        <f>IF($N$43&lt;3.25,0.00000278*(IF(ABS('Chemical Properties'!F50)&gt;0,'Chemical Properties'!F50,'Chemical Properties'!F13)/$F$14)^(2/3),IF($N$80&lt;14,IF($N$82&lt;0.3,0.000001+0.0144*$N$82^2.2*N56^(-0.5),0.000001+0.00341*$N$82*N56^(-0.5)),IF($N$80&lt;=51.2,(0.000000002605*$N$80+0.0000001277)*$N$43^2*(IF(ABS('Chemical Properties'!F50)&gt;0,'Chemical Properties'!F50,'Chemical Properties'!F13)/$F$14)^(2/3),0.000000261*$N$43^2*(IF(ABS('Chemical Properties'!F50)&gt;0,'Chemical Properties'!F50,'Chemical Properties'!F13)/$F$14)^(2/3))))</f>
        <v>7.8142065508849333E-6</v>
      </c>
      <c r="Q56" s="105">
        <f t="shared" si="3"/>
        <v>1.0425137858235765E-2</v>
      </c>
      <c r="R56" s="105">
        <f>IF($B$13=0,0,(8.22*10^(-9)*$F$10*$B$8*1.024^($B$4-20)*$F$9*10^6*18/($B$13*10.758*$F$4)))*(IF(ABS('Chemical Properties'!F50)&gt;0,'Chemical Properties'!F50,'Chemical Properties'!F13)/0.000024)^(0.5)</f>
        <v>1.7732382829956719E-2</v>
      </c>
      <c r="S56" s="105">
        <f>1.35*10^(-7)*$N$77^(1.42)*$N$76^(0.4)*O56^(0.5)*$N$78^(-0.21)*IF(ABS('Chemical Properties'!G50)&gt;0,'Chemical Properties'!G50,'Chemical Properties'!G13)*29*$F$11^(-1)</f>
        <v>0.13181711249296016</v>
      </c>
      <c r="T56" s="105">
        <f>IF(ABS('Chemical Properties'!E50)&gt;0,'Chemical Properties'!E50,'Chemical Properties'!E13)/($F$5*($B$4+273.15))</f>
        <v>7.3535809436306684E-8</v>
      </c>
      <c r="U56" s="105">
        <f t="shared" si="6"/>
        <v>9.693272765969484E-9</v>
      </c>
      <c r="V56" s="105">
        <f t="shared" si="7"/>
        <v>7.6654574811375337E-10</v>
      </c>
      <c r="W56" s="105">
        <f t="shared" si="4"/>
        <v>4.4101077962181335E-9</v>
      </c>
      <c r="X56" s="105">
        <f t="shared" si="5"/>
        <v>0.90000756313541996</v>
      </c>
      <c r="Y56" s="105">
        <f>((IF(ABS('Chemical Properties'!J50)&gt;0,'Chemical Properties'!J50,'Chemical Properties'!J13)/$B$6)*(W56*$B$3+($B$12*AA56*$B$15)+($B$6-$B$12))+((IF(ABS('Chemical Properties'!I50)&gt;0,'Chemical Properties'!I50,'Chemical Properties'!I13)*$B$10*$B$3*$B$7)/$B$6)-B28)</f>
        <v>385.27510410326687</v>
      </c>
      <c r="Z56" s="105">
        <f>-IF(ABS('Chemical Properties'!J50)&gt;0,'Chemical Properties'!J50,'Chemical Properties'!J13)*B28</f>
        <v>-289.76897689768975</v>
      </c>
      <c r="AA56" s="105">
        <f>0.000001*$F$15*'Chemical Properties'!N13</f>
        <v>1.4405022463925467E-9</v>
      </c>
      <c r="AB56" s="105">
        <f t="shared" si="8"/>
        <v>1.0000055403161425</v>
      </c>
      <c r="AC56" s="105">
        <f>((IF(ABS('Chemical Properties'!J50)&gt;0,'Chemical Properties'!J50,'Chemical Properties'!J13)/$B$6)*(W56*$B$3+($F$16*$B$14*$B$6*$N$84*AA56)+($B$6-$B$12))+((IF(ABS('Chemical Properties'!I50)&gt;0,'Chemical Properties'!I50,'Chemical Properties'!I13)*$B$10*$B$3*$B$7)/$B$6)-B28)</f>
        <v>385.27451795299442</v>
      </c>
      <c r="AD56" s="105">
        <f>-IF(ABS('Chemical Properties'!J50)&gt;0,'Chemical Properties'!J50,'Chemical Properties'!J13)*B28</f>
        <v>-289.76897689768975</v>
      </c>
    </row>
    <row r="57" spans="5:30">
      <c r="E57" s="123"/>
      <c r="F57" s="114"/>
      <c r="G57" s="115"/>
      <c r="M57" s="60" t="s">
        <v>71</v>
      </c>
      <c r="N57" s="105">
        <f>$F$3/($F$4*IF(ABS('Chemical Properties'!F51)&gt;0,'Chemical Properties'!F51,'Chemical Properties'!F14))</f>
        <v>1144.8717948717949</v>
      </c>
      <c r="O57" s="105">
        <f>$F$6/($F$7*IF(ABS('Chemical Properties'!G51)&gt;0,'Chemical Properties'!G51,'Chemical Properties'!G14))</f>
        <v>2.0111111111111115</v>
      </c>
      <c r="P57" s="105">
        <f>IF($N$43&lt;3.25,0.00000278*(IF(ABS('Chemical Properties'!F51)&gt;0,'Chemical Properties'!F51,'Chemical Properties'!F14)/$F$14)^(2/3),IF($N$80&lt;14,IF($N$82&lt;0.3,0.000001+0.0144*$N$82^2.2*N57^(-0.5),0.000001+0.00341*$N$82*N57^(-0.5)),IF($N$80&lt;=51.2,(0.000000002605*$N$80+0.0000001277)*$N$43^2*(IF(ABS('Chemical Properties'!F51)&gt;0,'Chemical Properties'!F51,'Chemical Properties'!F14)/$F$14)^(2/3),0.000000261*$N$43^2*(IF(ABS('Chemical Properties'!F51)&gt;0,'Chemical Properties'!F51,'Chemical Properties'!F14)/$F$14)^(2/3))))</f>
        <v>6.0681917625461314E-6</v>
      </c>
      <c r="Q57" s="105">
        <f t="shared" si="3"/>
        <v>6.4767195010191E-3</v>
      </c>
      <c r="R57" s="105">
        <f>IF($B$13=0,0,(8.22*10^(-9)*$F$10*$B$8*1.024^($B$4-20)*$F$9*10^6*18/($B$13*10.758*$F$4)))*(IF(ABS('Chemical Properties'!F51)&gt;0,'Chemical Properties'!F51,'Chemical Properties'!F14)/0.000024)^(0.5)</f>
        <v>1.3188786679416096E-2</v>
      </c>
      <c r="S57" s="105">
        <f>1.35*10^(-7)*$N$77^(1.42)*$N$76^(0.4)*O57^(0.5)*$N$78^(-0.21)*IF(ABS('Chemical Properties'!G51)&gt;0,'Chemical Properties'!G51,'Chemical Properties'!G14)*29*$F$11^(-1)</f>
        <v>9.2405564382078864E-2</v>
      </c>
      <c r="T57" s="105">
        <f>IF(ABS('Chemical Properties'!E51)&gt;0,'Chemical Properties'!E51,'Chemical Properties'!E14)/($F$5*($B$4+273.15))</f>
        <v>5.6390017353864438E-3</v>
      </c>
      <c r="U57" s="105">
        <f t="shared" si="6"/>
        <v>5.0127046715788676E-4</v>
      </c>
      <c r="V57" s="105">
        <f t="shared" si="7"/>
        <v>5.2036088921108615E-6</v>
      </c>
      <c r="W57" s="105">
        <f t="shared" si="4"/>
        <v>2.0767987757201942E-4</v>
      </c>
      <c r="X57" s="105">
        <f t="shared" si="5"/>
        <v>1.1580773357201632</v>
      </c>
      <c r="Y57" s="105">
        <f>((IF(ABS('Chemical Properties'!J51)&gt;0,'Chemical Properties'!J51,'Chemical Properties'!J14)/$B$6)*(W57*$B$3+($B$12*AA57*$B$15)+($B$6-$B$12))+((IF(ABS('Chemical Properties'!I51)&gt;0,'Chemical Properties'!I51,'Chemical Properties'!I14)*$B$10*$B$3*$B$7)/$B$6)-B29)</f>
        <v>6.1856364380505084</v>
      </c>
      <c r="Z57" s="105">
        <f>-IF(ABS('Chemical Properties'!J51)&gt;0,'Chemical Properties'!J51,'Chemical Properties'!J14)*B29</f>
        <v>-1.6386813840923011</v>
      </c>
      <c r="AA57" s="105">
        <f>0.000001*$F$15*'Chemical Properties'!N14</f>
        <v>2.4463237962930282E-6</v>
      </c>
      <c r="AB57" s="105">
        <f t="shared" si="8"/>
        <v>1.2546420957222348</v>
      </c>
      <c r="AC57" s="105">
        <f>((IF(ABS('Chemical Properties'!J51)&gt;0,'Chemical Properties'!J51,'Chemical Properties'!J14)/$B$6)*(W57*$B$3+($F$16*$B$14*$B$6*$N$84*AA57)+($B$6-$B$12))+((IF(ABS('Chemical Properties'!I51)&gt;0,'Chemical Properties'!I51,'Chemical Properties'!I14)*$B$10*$B$3*$B$7)/$B$6)-B29)</f>
        <v>6.1800071742160139</v>
      </c>
      <c r="AD57" s="105">
        <f>-IF(ABS('Chemical Properties'!J51)&gt;0,'Chemical Properties'!J51,'Chemical Properties'!J14)*B29</f>
        <v>-1.6386813840923011</v>
      </c>
    </row>
    <row r="58" spans="5:30">
      <c r="E58" s="124"/>
      <c r="F58" s="114"/>
      <c r="G58" s="115"/>
      <c r="M58" s="62" t="s">
        <v>12</v>
      </c>
      <c r="N58" s="105">
        <f>$F$3/($F$4*IF(ABS('Chemical Properties'!F52)&gt;0,'Chemical Properties'!F52,'Chemical Properties'!F15))</f>
        <v>1038.3720930232557</v>
      </c>
      <c r="O58" s="105">
        <f>$F$6/($F$7*IF(ABS('Chemical Properties'!G52)&gt;0,'Chemical Properties'!G52,'Chemical Properties'!G15))</f>
        <v>1.7337164750957856</v>
      </c>
      <c r="P58" s="105">
        <f>IF($N$43&lt;3.25,0.00000278*(IF(ABS('Chemical Properties'!F52)&gt;0,'Chemical Properties'!F52,'Chemical Properties'!F15)/$F$14)^(2/3),IF($N$80&lt;14,IF($N$82&lt;0.3,0.000001+0.0144*$N$82^2.2*N58^(-0.5),0.000001+0.00341*$N$82*N58^(-0.5)),IF($N$80&lt;=51.2,(0.000000002605*$N$80+0.0000001277)*$N$43^2*(IF(ABS('Chemical Properties'!F52)&gt;0,'Chemical Properties'!F52,'Chemical Properties'!F15)/$F$14)^(2/3),0.000000261*$N$43^2*(IF(ABS('Chemical Properties'!F52)&gt;0,'Chemical Properties'!F52,'Chemical Properties'!F15)/$F$14)^(2/3))))</f>
        <v>6.3217560551329873E-6</v>
      </c>
      <c r="Q58" s="105">
        <f t="shared" si="3"/>
        <v>7.1538847852294666E-3</v>
      </c>
      <c r="R58" s="105">
        <f>IF($B$13=0,0,(8.22*10^(-9)*$F$10*$B$8*1.024^($B$4-20)*$F$9*10^6*18/($B$13*10.758*$F$4)))*(IF(ABS('Chemical Properties'!F52)&gt;0,'Chemical Properties'!F52,'Chemical Properties'!F15)/0.000024)^(0.5)</f>
        <v>1.3848628595651136E-2</v>
      </c>
      <c r="S58" s="105">
        <f>1.35*10^(-7)*$N$77^(1.42)*$N$76^(0.4)*O58^(0.5)*$N$78^(-0.21)*IF(ABS('Chemical Properties'!G52)&gt;0,'Chemical Properties'!G52,'Chemical Properties'!G15)*29*$F$11^(-1)</f>
        <v>9.9523838658754554E-2</v>
      </c>
      <c r="T58" s="105">
        <f>IF(ABS('Chemical Properties'!E52)&gt;0,'Chemical Properties'!E52,'Chemical Properties'!E15)/($F$5*($B$4+273.15))</f>
        <v>0.27126271773786503</v>
      </c>
      <c r="U58" s="105">
        <f t="shared" si="6"/>
        <v>9.1532910922819139E-3</v>
      </c>
      <c r="V58" s="105">
        <f t="shared" si="7"/>
        <v>6.3012287975369427E-6</v>
      </c>
      <c r="W58" s="105">
        <f t="shared" si="4"/>
        <v>3.7397664791993229E-3</v>
      </c>
      <c r="X58" s="105">
        <f t="shared" si="5"/>
        <v>5.6144449098135532</v>
      </c>
      <c r="Y58" s="105">
        <f>((IF(ABS('Chemical Properties'!J52)&gt;0,'Chemical Properties'!J52,'Chemical Properties'!J15)/$B$6)*(W58*$B$3+($B$12*AA58*$B$15)+($B$6-$B$12))+((IF(ABS('Chemical Properties'!I52)&gt;0,'Chemical Properties'!I52,'Chemical Properties'!I15)*$B$10*$B$3*$B$7)/$B$6)-B30)</f>
        <v>695.97142165545824</v>
      </c>
      <c r="Z58" s="105">
        <f>-IF(ABS('Chemical Properties'!J52)&gt;0,'Chemical Properties'!J52,'Chemical Properties'!J15)*B30</f>
        <v>-30.616666666666671</v>
      </c>
      <c r="AA58" s="105">
        <f>0.000001*$F$15*'Chemical Properties'!N15</f>
        <v>8.8820648529588301E-5</v>
      </c>
      <c r="AB58" s="105">
        <f t="shared" si="8"/>
        <v>5.5897188842019139</v>
      </c>
      <c r="AC58" s="105">
        <f>((IF(ABS('Chemical Properties'!J52)&gt;0,'Chemical Properties'!J52,'Chemical Properties'!J15)/$B$6)*(W58*$B$3+($F$16*$B$14*$B$6*$N$84*AA58)+($B$6-$B$12))+((IF(ABS('Chemical Properties'!I52)&gt;0,'Chemical Properties'!I52,'Chemical Properties'!I15)*$B$10*$B$3*$B$7)/$B$6)-B30)</f>
        <v>692.15272650464863</v>
      </c>
      <c r="AD58" s="105">
        <f>-IF(ABS('Chemical Properties'!J52)&gt;0,'Chemical Properties'!J52,'Chemical Properties'!J15)*B30</f>
        <v>-30.616666666666671</v>
      </c>
    </row>
    <row r="59" spans="5:30">
      <c r="E59" s="124"/>
      <c r="F59" s="114"/>
      <c r="G59" s="115"/>
      <c r="M59" s="62" t="s">
        <v>10</v>
      </c>
      <c r="N59" s="105">
        <f>$F$3/($F$4*IF(ABS('Chemical Properties'!F53)&gt;0,'Chemical Properties'!F53,'Chemical Properties'!F16))</f>
        <v>981.31868131868146</v>
      </c>
      <c r="O59" s="105">
        <f>$F$6/($F$7*IF(ABS('Chemical Properties'!G53)&gt;0,'Chemical Properties'!G53,'Chemical Properties'!G16))</f>
        <v>1.8394308943089432</v>
      </c>
      <c r="P59" s="105">
        <f>IF($N$43&lt;3.25,0.00000278*(IF(ABS('Chemical Properties'!F53)&gt;0,'Chemical Properties'!F53,'Chemical Properties'!F16)/$F$14)^(2/3),IF($N$80&lt;14,IF($N$82&lt;0.3,0.000001+0.0144*$N$82^2.2*N59^(-0.5),0.000001+0.00341*$N$82*N59^(-0.5)),IF($N$80&lt;=51.2,(0.000000002605*$N$80+0.0000001277)*$N$43^2*(IF(ABS('Chemical Properties'!F53)&gt;0,'Chemical Properties'!F53,'Chemical Properties'!F16)/$F$14)^(2/3),0.000000261*$N$43^2*(IF(ABS('Chemical Properties'!F53)&gt;0,'Chemical Properties'!F53,'Chemical Properties'!F16)/$F$14)^(2/3))))</f>
        <v>6.4742727704780299E-6</v>
      </c>
      <c r="Q59" s="105">
        <f t="shared" si="3"/>
        <v>6.8757380597184474E-3</v>
      </c>
      <c r="R59" s="105">
        <f>IF($B$13=0,0,(8.22*10^(-9)*$F$10*$B$8*1.024^($B$4-20)*$F$9*10^6*18/($B$13*10.758*$F$4)))*(IF(ABS('Chemical Properties'!F53)&gt;0,'Chemical Properties'!F53,'Chemical Properties'!F16)/0.000024)^(0.5)</f>
        <v>1.4245517765985224E-2</v>
      </c>
      <c r="S59" s="105">
        <f>1.35*10^(-7)*$N$77^(1.42)*$N$76^(0.4)*O59^(0.5)*$N$78^(-0.21)*IF(ABS('Chemical Properties'!G53)&gt;0,'Chemical Properties'!G53,'Chemical Properties'!G16)*29*$F$11^(-1)</f>
        <v>9.66216430522812E-2</v>
      </c>
      <c r="T59" s="105">
        <f>IF(ABS('Chemical Properties'!E53)&gt;0,'Chemical Properties'!E53,'Chemical Properties'!E16)/($F$5*($B$4+273.15))</f>
        <v>1.621856911776091E-5</v>
      </c>
      <c r="U59" s="105">
        <f t="shared" si="6"/>
        <v>1.5668924315854323E-6</v>
      </c>
      <c r="V59" s="105">
        <f t="shared" si="7"/>
        <v>1.0962639809597012E-7</v>
      </c>
      <c r="W59" s="105">
        <f t="shared" si="4"/>
        <v>7.0442886074473006E-7</v>
      </c>
      <c r="X59" s="105">
        <f t="shared" si="5"/>
        <v>0.90801785221960463</v>
      </c>
      <c r="Y59" s="105">
        <f>((IF(ABS('Chemical Properties'!J53)&gt;0,'Chemical Properties'!J53,'Chemical Properties'!J16)/$B$6)*(W59*$B$3+($B$12*AA59*$B$15)+($B$6-$B$12))+((IF(ABS('Chemical Properties'!I53)&gt;0,'Chemical Properties'!I53,'Chemical Properties'!I16)*$B$10*$B$3*$B$7)/$B$6)-B31)</f>
        <v>698.92104346143356</v>
      </c>
      <c r="Z59" s="105">
        <f>-IF(ABS('Chemical Properties'!J53)&gt;0,'Chemical Properties'!J53,'Chemical Properties'!J16)*B31</f>
        <v>-7.4615384615384617</v>
      </c>
      <c r="AA59" s="105">
        <f>0.000001*$F$15*'Chemical Properties'!N16</f>
        <v>4.7699512434615613E-6</v>
      </c>
      <c r="AB59" s="105">
        <f t="shared" si="8"/>
        <v>1.0013196680607706</v>
      </c>
      <c r="AC59" s="105">
        <f>((IF(ABS('Chemical Properties'!J53)&gt;0,'Chemical Properties'!J53,'Chemical Properties'!J16)/$B$6)*(W59*$B$3+($F$16*$B$14*$B$6*$N$84*AA59)+($B$6-$B$12))+((IF(ABS('Chemical Properties'!I53)&gt;0,'Chemical Properties'!I53,'Chemical Properties'!I16)*$B$10*$B$3*$B$7)/$B$6)-B31)</f>
        <v>698.87106470270987</v>
      </c>
      <c r="AD59" s="105">
        <f>-IF(ABS('Chemical Properties'!J53)&gt;0,'Chemical Properties'!J53,'Chemical Properties'!J16)*B31</f>
        <v>-7.4615384615384617</v>
      </c>
    </row>
    <row r="60" spans="5:30">
      <c r="E60" s="122"/>
      <c r="F60" s="114"/>
      <c r="G60" s="115"/>
      <c r="M60" s="63" t="s">
        <v>72</v>
      </c>
      <c r="N60" s="105">
        <f>$F$3/($F$4*IF(ABS('Chemical Properties'!F54)&gt;0,'Chemical Properties'!F54,'Chemical Properties'!F17))</f>
        <v>1149.2921492921494</v>
      </c>
      <c r="O60" s="105">
        <f>$F$6/($F$7*IF(ABS('Chemical Properties'!G54)&gt;0,'Chemical Properties'!G54,'Chemical Properties'!G17))</f>
        <v>0.75416666666666676</v>
      </c>
      <c r="P60" s="105">
        <f>IF($N$43&lt;3.25,0.00000278*(IF(ABS('Chemical Properties'!F54)&gt;0,'Chemical Properties'!F54,'Chemical Properties'!F17)/$F$14)^(2/3),IF($N$80&lt;14,IF($N$82&lt;0.3,0.000001+0.0144*$N$82^2.2*N60^(-0.5),0.000001+0.00341*$N$82*N60^(-0.5)),IF($N$80&lt;=51.2,(0.000000002605*$N$80+0.0000001277)*$N$43^2*(IF(ABS('Chemical Properties'!F54)&gt;0,'Chemical Properties'!F54,'Chemical Properties'!F17)/$F$14)^(2/3),0.000000261*$N$43^2*(IF(ABS('Chemical Properties'!F54)&gt;0,'Chemical Properties'!F54,'Chemical Properties'!F17)/$F$14)^(2/3))))</f>
        <v>6.058435850203629E-6</v>
      </c>
      <c r="Q60" s="105">
        <f t="shared" si="3"/>
        <v>1.2495514399308837E-2</v>
      </c>
      <c r="R60" s="105">
        <f>IF($B$13=0,0,(8.22*10^(-9)*$F$10*$B$8*1.024^($B$4-20)*$F$9*10^6*18/($B$13*10.758*$F$4)))*(IF(ABS('Chemical Properties'!F54)&gt;0,'Chemical Properties'!F54,'Chemical Properties'!F17)/0.000024)^(0.5)</f>
        <v>1.3163399193548015E-2</v>
      </c>
      <c r="S60" s="105">
        <f>1.35*10^(-7)*$N$77^(1.42)*$N$76^(0.4)*O60^(0.5)*$N$78^(-0.21)*IF(ABS('Chemical Properties'!G54)&gt;0,'Chemical Properties'!G54,'Chemical Properties'!G17)*29*$F$11^(-1)</f>
        <v>0.15089765475332853</v>
      </c>
      <c r="T60" s="105">
        <f>IF(ABS('Chemical Properties'!E54)&gt;0,'Chemical Properties'!E54,'Chemical Properties'!E17)/($F$5*($B$4+273.15))</f>
        <v>4.9840439102439058</v>
      </c>
      <c r="U60" s="105">
        <f t="shared" si="6"/>
        <v>1.293696802555277E-2</v>
      </c>
      <c r="V60" s="105">
        <f t="shared" si="7"/>
        <v>6.0578465415994367E-6</v>
      </c>
      <c r="W60" s="105">
        <f t="shared" si="4"/>
        <v>5.2839803685869758E-3</v>
      </c>
      <c r="X60" s="105">
        <f t="shared" si="5"/>
        <v>9.7420949085161066</v>
      </c>
      <c r="Y60" s="105">
        <f>((IF(ABS('Chemical Properties'!J54)&gt;0,'Chemical Properties'!J54,'Chemical Properties'!J17)/$B$6)*(W60*$B$3+($B$12*AA60*$B$15)+($B$6-$B$12))+((IF(ABS('Chemical Properties'!I54)&gt;0,'Chemical Properties'!I54,'Chemical Properties'!I17)*$B$10*$B$3*$B$7)/$B$6)-B32)</f>
        <v>209.84070813626511</v>
      </c>
      <c r="Z60" s="105">
        <f>-IF(ABS('Chemical Properties'!J54)&gt;0,'Chemical Properties'!J54,'Chemical Properties'!J17)*B32</f>
        <v>-10.41967452478112</v>
      </c>
      <c r="AA60" s="105">
        <f>0.000001*$F$15*'Chemical Properties'!N17</f>
        <v>1.579479304664707E-3</v>
      </c>
      <c r="AB60" s="105">
        <f t="shared" si="8"/>
        <v>7.6241176761044605</v>
      </c>
      <c r="AC60" s="105">
        <f>((IF(ABS('Chemical Properties'!J54)&gt;0,'Chemical Properties'!J54,'Chemical Properties'!J17)/$B$6)*(W60*$B$3+($F$16*$B$14*$B$6*$N$84*AA60)+($B$6-$B$12))+((IF(ABS('Chemical Properties'!I54)&gt;0,'Chemical Properties'!I54,'Chemical Properties'!I17)*$B$10*$B$3*$B$7)/$B$6)-B32)</f>
        <v>186.73010727116096</v>
      </c>
      <c r="AD60" s="105">
        <f>-IF(ABS('Chemical Properties'!J54)&gt;0,'Chemical Properties'!J54,'Chemical Properties'!J17)*B32</f>
        <v>-10.41967452478112</v>
      </c>
    </row>
    <row r="61" spans="5:30">
      <c r="E61" s="123"/>
      <c r="F61" s="114"/>
      <c r="G61" s="115"/>
      <c r="M61" s="63" t="s">
        <v>73</v>
      </c>
      <c r="N61" s="105">
        <f>$F$3/($F$4*IF(ABS('Chemical Properties'!F55)&gt;0,'Chemical Properties'!F55,'Chemical Properties'!F18))</f>
        <v>960.21505376344078</v>
      </c>
      <c r="O61" s="105">
        <f>$F$6/($F$7*IF(ABS('Chemical Properties'!G55)&gt;0,'Chemical Properties'!G55,'Chemical Properties'!G18))</f>
        <v>2.1733909702209413</v>
      </c>
      <c r="P61" s="105">
        <f>IF($N$43&lt;3.25,0.00000278*(IF(ABS('Chemical Properties'!F55)&gt;0,'Chemical Properties'!F55,'Chemical Properties'!F18)/$F$14)^(2/3),IF($N$80&lt;14,IF($N$82&lt;0.3,0.000001+0.0144*$N$82^2.2*N61^(-0.5),0.000001+0.00341*$N$82*N61^(-0.5)),IF($N$80&lt;=51.2,(0.000000002605*$N$80+0.0000001277)*$N$43^2*(IF(ABS('Chemical Properties'!F55)&gt;0,'Chemical Properties'!F55,'Chemical Properties'!F18)/$F$14)^(2/3),0.000000261*$N$43^2*(IF(ABS('Chemical Properties'!F55)&gt;0,'Chemical Properties'!F55,'Chemical Properties'!F18)/$F$14)^(2/3))))</f>
        <v>6.5341026650847605E-6</v>
      </c>
      <c r="Q61" s="105">
        <f t="shared" si="3"/>
        <v>6.1485808401953177E-3</v>
      </c>
      <c r="R61" s="105">
        <f>IF($B$13=0,0,(8.22*10^(-9)*$F$10*$B$8*1.024^($B$4-20)*$F$9*10^6*18/($B$13*10.758*$F$4)))*(IF(ABS('Chemical Properties'!F55)&gt;0,'Chemical Properties'!F55,'Chemical Properties'!F18)/0.000024)^(0.5)</f>
        <v>1.4401211108697989E-2</v>
      </c>
      <c r="S61" s="105">
        <f>1.35*10^(-7)*$N$77^(1.42)*$N$76^(0.4)*O61^(0.5)*$N$78^(-0.21)*IF(ABS('Chemical Properties'!G55)&gt;0,'Chemical Properties'!G55,'Chemical Properties'!G18)*29*$F$11^(-1)</f>
        <v>8.8888837695680262E-2</v>
      </c>
      <c r="T61" s="105">
        <f>IF(ABS('Chemical Properties'!E55)&gt;0,'Chemical Properties'!E55,'Chemical Properties'!E18)/($F$5*($B$4+273.15))</f>
        <v>6.618156667700924E-5</v>
      </c>
      <c r="U61" s="105">
        <f t="shared" si="6"/>
        <v>5.8804004328690536E-6</v>
      </c>
      <c r="V61" s="105">
        <f t="shared" si="7"/>
        <v>3.8306656980891011E-7</v>
      </c>
      <c r="W61" s="105">
        <f t="shared" si="4"/>
        <v>2.6268763098334585E-6</v>
      </c>
      <c r="X61" s="105">
        <f t="shared" si="5"/>
        <v>0.90345484537524567</v>
      </c>
      <c r="Y61" s="105">
        <f>((IF(ABS('Chemical Properties'!J55)&gt;0,'Chemical Properties'!J55,'Chemical Properties'!J18)/$B$6)*(W61*$B$3+($B$12*AA61*$B$15)+($B$6-$B$12))+((IF(ABS('Chemical Properties'!I55)&gt;0,'Chemical Properties'!I55,'Chemical Properties'!I18)*$B$10*$B$3*$B$7)/$B$6)-B33)</f>
        <v>164.57648792805671</v>
      </c>
      <c r="Z61" s="105">
        <f>-IF(ABS('Chemical Properties'!J55)&gt;0,'Chemical Properties'!J55,'Chemical Properties'!J18)*B33</f>
        <v>-1.3529411764705883</v>
      </c>
      <c r="AA61" s="105">
        <f>0.000001*$F$15*'Chemical Properties'!N18</f>
        <v>1.5794793046647064E-7</v>
      </c>
      <c r="AB61" s="105">
        <f t="shared" si="8"/>
        <v>1.0032330476520046</v>
      </c>
      <c r="AC61" s="105">
        <f>((IF(ABS('Chemical Properties'!J55)&gt;0,'Chemical Properties'!J55,'Chemical Properties'!J18)/$B$6)*(W61*$B$3+($F$16*$B$14*$B$6*$N$84*AA61)+($B$6-$B$12))+((IF(ABS('Chemical Properties'!I55)&gt;0,'Chemical Properties'!I55,'Chemical Properties'!I18)*$B$10*$B$3*$B$7)/$B$6)-B33)</f>
        <v>164.57618784878409</v>
      </c>
      <c r="AD61" s="105">
        <f>-IF(ABS('Chemical Properties'!J55)&gt;0,'Chemical Properties'!J55,'Chemical Properties'!J18)*B33</f>
        <v>-1.3529411764705883</v>
      </c>
    </row>
    <row r="62" spans="5:30">
      <c r="E62" s="123"/>
      <c r="F62" s="114"/>
      <c r="G62" s="115"/>
      <c r="M62" s="64" t="s">
        <v>74</v>
      </c>
      <c r="N62" s="105">
        <f>$F$3/($F$4*IF(ABS('Chemical Properties'!F56)&gt;0,'Chemical Properties'!F56,'Chemical Properties'!F19))</f>
        <v>956.10278372591006</v>
      </c>
      <c r="O62" s="105">
        <f>$F$6/($F$7*IF(ABS('Chemical Properties'!G56)&gt;0,'Chemical Properties'!G56,'Chemical Properties'!G19))</f>
        <v>2.1125116713352012</v>
      </c>
      <c r="P62" s="105">
        <f>IF($N$43&lt;3.25,0.00000278*(IF(ABS('Chemical Properties'!F56)&gt;0,'Chemical Properties'!F56,'Chemical Properties'!F19)/$F$14)^(2/3),IF($N$80&lt;14,IF($N$82&lt;0.3,0.000001+0.0144*$N$82^2.2*N62^(-0.5),0.000001+0.00341*$N$82*N62^(-0.5)),IF($N$80&lt;=51.2,(0.000000002605*$N$80+0.0000001277)*$N$43^2*(IF(ABS('Chemical Properties'!F56)&gt;0,'Chemical Properties'!F56,'Chemical Properties'!F19)/$F$14)^(2/3),0.000000261*$N$43^2*(IF(ABS('Chemical Properties'!F56)&gt;0,'Chemical Properties'!F56,'Chemical Properties'!F19)/$F$14)^(2/3))))</f>
        <v>6.5459911914930456E-6</v>
      </c>
      <c r="Q62" s="105">
        <f t="shared" si="3"/>
        <v>6.2667424158220544E-3</v>
      </c>
      <c r="R62" s="105">
        <f>IF($B$13=0,0,(8.22*10^(-9)*$F$10*$B$8*1.024^($B$4-20)*$F$9*10^6*18/($B$13*10.758*$F$4)))*(IF(ABS('Chemical Properties'!F56)&gt;0,'Chemical Properties'!F56,'Chemical Properties'!F19)/0.000024)^(0.5)</f>
        <v>1.4432148225144568E-2</v>
      </c>
      <c r="S62" s="105">
        <f>1.35*10^(-7)*$N$77^(1.42)*$N$76^(0.4)*O62^(0.5)*$N$78^(-0.21)*IF(ABS('Chemical Properties'!G56)&gt;0,'Chemical Properties'!G56,'Chemical Properties'!G19)*29*$F$11^(-1)</f>
        <v>9.0160559497984155E-2</v>
      </c>
      <c r="T62" s="105">
        <f>IF(ABS('Chemical Properties'!E56)&gt;0,'Chemical Properties'!E56,'Chemical Properties'!E19)/($F$5*($B$4+273.15))</f>
        <v>0.24680162834678984</v>
      </c>
      <c r="U62" s="105">
        <f t="shared" si="6"/>
        <v>8.754268216069656E-3</v>
      </c>
      <c r="V62" s="105">
        <f t="shared" si="7"/>
        <v>6.518402776888026E-6</v>
      </c>
      <c r="W62" s="105">
        <f t="shared" si="4"/>
        <v>3.5770285306514871E-3</v>
      </c>
      <c r="X62" s="105">
        <f t="shared" si="5"/>
        <v>5.6322931133182212</v>
      </c>
      <c r="Y62" s="105">
        <f>((IF(ABS('Chemical Properties'!J56)&gt;0,'Chemical Properties'!J56,'Chemical Properties'!J19)/$B$6)*(W62*$B$3+($B$12*AA62*$B$15)+($B$6-$B$12))+((IF(ABS('Chemical Properties'!I56)&gt;0,'Chemical Properties'!I56,'Chemical Properties'!I19)*$B$10*$B$3*$B$7)/$B$6)-B34)</f>
        <v>418.21531056854627</v>
      </c>
      <c r="Z62" s="105">
        <f>-IF(ABS('Chemical Properties'!J56)&gt;0,'Chemical Properties'!J56,'Chemical Properties'!J19)*B34</f>
        <v>-22.666666666666664</v>
      </c>
      <c r="AA62" s="105">
        <f>0.000001*$F$15*'Chemical Properties'!N19</f>
        <v>2.3362210884676578E-4</v>
      </c>
      <c r="AB62" s="105">
        <f t="shared" si="8"/>
        <v>5.4042302403956031</v>
      </c>
      <c r="AC62" s="105">
        <f>((IF(ABS('Chemical Properties'!J56)&gt;0,'Chemical Properties'!J56,'Chemical Properties'!J19)/$B$6)*(W62*$B$3+($F$16*$B$14*$B$6*$N$84*AA62)+($B$6-$B$12))+((IF(ABS('Chemical Properties'!I56)&gt;0,'Chemical Properties'!I56,'Chemical Properties'!I19)*$B$10*$B$3*$B$7)/$B$6)-B34)</f>
        <v>410.77921878230029</v>
      </c>
      <c r="AD62" s="105">
        <f>-IF(ABS('Chemical Properties'!J56)&gt;0,'Chemical Properties'!J56,'Chemical Properties'!J19)*B34</f>
        <v>-22.666666666666664</v>
      </c>
    </row>
    <row r="63" spans="5:30">
      <c r="E63" s="124"/>
      <c r="F63" s="114"/>
      <c r="G63" s="115"/>
      <c r="M63" s="63" t="s">
        <v>75</v>
      </c>
      <c r="N63" s="105">
        <f>$F$3/($F$4*IF(ABS('Chemical Properties'!F57)&gt;0,'Chemical Properties'!F57,'Chemical Properties'!F20))</f>
        <v>850.4761904761906</v>
      </c>
      <c r="O63" s="105">
        <f>$F$6/($F$7*IF(ABS('Chemical Properties'!G57)&gt;0,'Chemical Properties'!G57,'Chemical Properties'!G20))</f>
        <v>1.4729817708333335</v>
      </c>
      <c r="P63" s="105">
        <f>IF($N$43&lt;3.25,0.00000278*(IF(ABS('Chemical Properties'!F57)&gt;0,'Chemical Properties'!F57,'Chemical Properties'!F20)/$F$14)^(2/3),IF($N$80&lt;14,IF($N$82&lt;0.3,0.000001+0.0144*$N$82^2.2*N63^(-0.5),0.000001+0.00341*$N$82*N63^(-0.5)),IF($N$80&lt;=51.2,(0.000000002605*$N$80+0.0000001277)*$N$43^2*(IF(ABS('Chemical Properties'!F57)&gt;0,'Chemical Properties'!F57,'Chemical Properties'!F20)/$F$14)^(2/3),0.000000261*$N$43^2*(IF(ABS('Chemical Properties'!F57)&gt;0,'Chemical Properties'!F57,'Chemical Properties'!F20)/$F$14)^(2/3))))</f>
        <v>6.8803122332325578E-6</v>
      </c>
      <c r="Q63" s="105">
        <f t="shared" si="3"/>
        <v>7.9793040326923276E-3</v>
      </c>
      <c r="R63" s="105">
        <f>IF($B$13=0,0,(8.22*10^(-9)*$F$10*$B$8*1.024^($B$4-20)*$F$9*10^6*18/($B$13*10.758*$F$4)))*(IF(ABS('Chemical Properties'!F57)&gt;0,'Chemical Properties'!F57,'Chemical Properties'!F20)/0.000024)^(0.5)</f>
        <v>1.5302140740922517E-2</v>
      </c>
      <c r="S63" s="105">
        <f>1.35*10^(-7)*$N$77^(1.42)*$N$76^(0.4)*O63^(0.5)*$N$78^(-0.21)*IF(ABS('Chemical Properties'!G57)&gt;0,'Chemical Properties'!G57,'Chemical Properties'!G20)*29*$F$11^(-1)</f>
        <v>0.10797357237559578</v>
      </c>
      <c r="T63" s="105">
        <f>IF(ABS('Chemical Properties'!E57)&gt;0,'Chemical Properties'!E57,'Chemical Properties'!E20)/($F$5*($B$4+273.15))</f>
        <v>2.267844153849265E-2</v>
      </c>
      <c r="U63" s="105">
        <f t="shared" si="6"/>
        <v>2.1108852152654199E-3</v>
      </c>
      <c r="V63" s="105">
        <f t="shared" si="7"/>
        <v>6.6282941518580226E-6</v>
      </c>
      <c r="W63" s="105">
        <f t="shared" si="4"/>
        <v>8.655086701165771E-4</v>
      </c>
      <c r="X63" s="105">
        <f t="shared" si="5"/>
        <v>1.979131303760524</v>
      </c>
      <c r="Y63" s="105">
        <f>((IF(ABS('Chemical Properties'!J57)&gt;0,'Chemical Properties'!J57,'Chemical Properties'!J20)/$B$6)*(W63*$B$3+($B$12*AA63*$B$15)+($B$6-$B$12))+((IF(ABS('Chemical Properties'!I57)&gt;0,'Chemical Properties'!I57,'Chemical Properties'!I20)*$B$10*$B$3*$B$7)/$B$6)-B35)</f>
        <v>173.24514640060409</v>
      </c>
      <c r="Z63" s="105">
        <f>-IF(ABS('Chemical Properties'!J57)&gt;0,'Chemical Properties'!J57,'Chemical Properties'!J20)*B35</f>
        <v>-24.63925105656925</v>
      </c>
      <c r="AA63" s="105">
        <f>0.000001*$F$15*'Chemical Properties'!N20</f>
        <v>1.2588788578478174E-5</v>
      </c>
      <c r="AB63" s="105">
        <f t="shared" si="8"/>
        <v>2.061453549852482</v>
      </c>
      <c r="AC63" s="105">
        <f>((IF(ABS('Chemical Properties'!J57)&gt;0,'Chemical Properties'!J57,'Chemical Properties'!J20)/$B$6)*(W63*$B$3+($F$16*$B$14*$B$6*$N$84*AA63)+($B$6-$B$12))+((IF(ABS('Chemical Properties'!I57)&gt;0,'Chemical Properties'!I57,'Chemical Properties'!I20)*$B$10*$B$3*$B$7)/$B$6)-B35)</f>
        <v>172.80957978394758</v>
      </c>
      <c r="AD63" s="105">
        <f>-IF(ABS('Chemical Properties'!J57)&gt;0,'Chemical Properties'!J57,'Chemical Properties'!J20)*B35</f>
        <v>-24.63925105656925</v>
      </c>
    </row>
    <row r="64" spans="5:30">
      <c r="E64" s="124"/>
      <c r="F64" s="114"/>
      <c r="G64" s="115"/>
      <c r="M64" s="64" t="s">
        <v>78</v>
      </c>
      <c r="N64" s="105">
        <f>$F$3/($F$4*IF(ABS('Chemical Properties'!F58)&gt;0,'Chemical Properties'!F58,'Chemical Properties'!F21))</f>
        <v>1089.0243902439026</v>
      </c>
      <c r="O64" s="105">
        <f>$F$6/($F$7*IF(ABS('Chemical Properties'!G58)&gt;0,'Chemical Properties'!G58,'Chemical Properties'!G21))</f>
        <v>3.7334983498349841</v>
      </c>
      <c r="P64" s="105">
        <f>IF($N$43&lt;3.25,0.00000278*(IF(ABS('Chemical Properties'!F58)&gt;0,'Chemical Properties'!F58,'Chemical Properties'!F21)/$F$14)^(2/3),IF($N$80&lt;14,IF($N$82&lt;0.3,0.000001+0.0144*$N$82^2.2*N64^(-0.5),0.000001+0.00341*$N$82*N64^(-0.5)),IF($N$80&lt;=51.2,(0.000000002605*$N$80+0.0000001277)*$N$43^2*(IF(ABS('Chemical Properties'!F58)&gt;0,'Chemical Properties'!F58,'Chemical Properties'!F21)/$F$14)^(2/3),0.000000261*$N$43^2*(IF(ABS('Chemical Properties'!F58)&gt;0,'Chemical Properties'!F58,'Chemical Properties'!F21)/$F$14)^(2/3))))</f>
        <v>6.196520723151456E-6</v>
      </c>
      <c r="Q64" s="105">
        <f t="shared" si="3"/>
        <v>4.2789731055326626E-3</v>
      </c>
      <c r="R64" s="105">
        <f>IF($B$13=0,0,(8.22*10^(-9)*$F$10*$B$8*1.024^($B$4-20)*$F$9*10^6*18/($B$13*10.758*$F$4)))*(IF(ABS('Chemical Properties'!F58)&gt;0,'Chemical Properties'!F58,'Chemical Properties'!F21)/0.000024)^(0.5)</f>
        <v>1.3522732860916643E-2</v>
      </c>
      <c r="S64" s="105">
        <f>1.35*10^(-7)*$N$77^(1.42)*$N$76^(0.4)*O64^(0.5)*$N$78^(-0.21)*IF(ABS('Chemical Properties'!G58)&gt;0,'Chemical Properties'!G58,'Chemical Properties'!G21)*29*$F$11^(-1)</f>
        <v>6.7820060796427009E-2</v>
      </c>
      <c r="T64" s="105">
        <f>IF(ABS('Chemical Properties'!E58)&gt;0,'Chemical Properties'!E58,'Chemical Properties'!E21)/($F$5*($B$4+273.15))</f>
        <v>1.1438789302199128E-2</v>
      </c>
      <c r="U64" s="105">
        <f t="shared" si="6"/>
        <v>7.3368873723412826E-4</v>
      </c>
      <c r="V64" s="105">
        <f t="shared" si="7"/>
        <v>5.5002036284470076E-6</v>
      </c>
      <c r="W64" s="105">
        <f t="shared" si="4"/>
        <v>3.0272001326341898E-4</v>
      </c>
      <c r="X64" s="105">
        <f t="shared" si="5"/>
        <v>2.634175224400082</v>
      </c>
      <c r="Y64" s="105">
        <f>((IF(ABS('Chemical Properties'!J58)&gt;0,'Chemical Properties'!J58,'Chemical Properties'!J21)/$B$6)*(W64*$B$3+($B$12*AA64*$B$15)+($B$6-$B$12))+((IF(ABS('Chemical Properties'!I58)&gt;0,'Chemical Properties'!I58,'Chemical Properties'!I21)*$B$10*$B$3*$B$7)/$B$6)-B36)</f>
        <v>170.5203542359059</v>
      </c>
      <c r="Z64" s="105">
        <f>-IF(ABS('Chemical Properties'!J58)&gt;0,'Chemical Properties'!J58,'Chemical Properties'!J21)*B36</f>
        <v>-13.571428571428573</v>
      </c>
      <c r="AA64" s="105">
        <f>0.000001*$F$15*'Chemical Properties'!N21</f>
        <v>9.0889547210159583E-4</v>
      </c>
      <c r="AB64" s="105">
        <f t="shared" si="8"/>
        <v>1.4578625447658831</v>
      </c>
      <c r="AC64" s="105">
        <f>((IF(ABS('Chemical Properties'!J58)&gt;0,'Chemical Properties'!J58,'Chemical Properties'!J21)/$B$6)*(W64*$B$3+($F$16*$B$14*$B$6*$N$84*AA64)+($B$6-$B$12))+((IF(ABS('Chemical Properties'!I58)&gt;0,'Chemical Properties'!I58,'Chemical Properties'!I21)*$B$10*$B$3*$B$7)/$B$6)-B36)</f>
        <v>153.19896786944176</v>
      </c>
      <c r="AD64" s="105">
        <f>-IF(ABS('Chemical Properties'!J58)&gt;0,'Chemical Properties'!J58,'Chemical Properties'!J21)*B36</f>
        <v>-13.571428571428573</v>
      </c>
    </row>
    <row r="65" spans="5:30">
      <c r="E65" s="125"/>
      <c r="F65" s="114"/>
      <c r="G65" s="115"/>
      <c r="M65" s="65" t="s">
        <v>14</v>
      </c>
      <c r="N65" s="105">
        <f>$F$3/($F$4*IF(ABS('Chemical Properties'!F59)&gt;0,'Chemical Properties'!F59,'Chemical Properties'!F22))</f>
        <v>686.92307692307702</v>
      </c>
      <c r="O65" s="105">
        <f>$F$6/($F$7*IF(ABS('Chemical Properties'!G59)&gt;0,'Chemical Properties'!G59,'Chemical Properties'!G22))</f>
        <v>0.93279736136878999</v>
      </c>
      <c r="P65" s="105">
        <f>IF($N$43&lt;3.25,0.00000278*(IF(ABS('Chemical Properties'!F59)&gt;0,'Chemical Properties'!F59,'Chemical Properties'!F22)/$F$14)^(2/3),IF($N$80&lt;14,IF($N$82&lt;0.3,0.000001+0.0144*$N$82^2.2*N65^(-0.5),0.000001+0.00341*$N$82*N65^(-0.5)),IF($N$80&lt;=51.2,(0.000000002605*$N$80+0.0000001277)*$N$43^2*(IF(ABS('Chemical Properties'!F59)&gt;0,'Chemical Properties'!F59,'Chemical Properties'!F22)/$F$14)^(2/3),0.000000261*$N$43^2*(IF(ABS('Chemical Properties'!F59)&gt;0,'Chemical Properties'!F59,'Chemical Properties'!F22)/$F$14)^(2/3))))</f>
        <v>7.5430074305755941E-6</v>
      </c>
      <c r="Q65" s="105">
        <f t="shared" si="3"/>
        <v>1.0836767493946152E-2</v>
      </c>
      <c r="R65" s="105">
        <f>IF($B$13=0,0,(8.22*10^(-9)*$F$10*$B$8*1.024^($B$4-20)*$F$9*10^6*18/($B$13*10.758*$F$4)))*(IF(ABS('Chemical Properties'!F59)&gt;0,'Chemical Properties'!F59,'Chemical Properties'!F22)/0.000024)^(0.5)</f>
        <v>1.7026650388686917E-2</v>
      </c>
      <c r="S65" s="105">
        <f>1.35*10^(-7)*$N$77^(1.42)*$N$76^(0.4)*O65^(0.5)*$N$78^(-0.21)*IF(ABS('Chemical Properties'!G59)&gt;0,'Chemical Properties'!G59,'Chemical Properties'!G22)*29*$F$11^(-1)</f>
        <v>0.1356820829617133</v>
      </c>
      <c r="T65" s="105">
        <f>IF(ABS('Chemical Properties'!E59)&gt;0,'Chemical Properties'!E59,'Chemical Properties'!E22)/($F$5*($B$4+273.15))</f>
        <v>2.0099586916721326</v>
      </c>
      <c r="U65" s="105">
        <f t="shared" si="6"/>
        <v>1.6026081637527556E-2</v>
      </c>
      <c r="V65" s="105">
        <f t="shared" si="7"/>
        <v>7.5403961603812736E-6</v>
      </c>
      <c r="W65" s="105">
        <f t="shared" si="4"/>
        <v>6.5457204946775963E-3</v>
      </c>
      <c r="X65" s="105">
        <f t="shared" si="5"/>
        <v>8.920005583165258</v>
      </c>
      <c r="Y65" s="105">
        <f>((IF(ABS('Chemical Properties'!J59)&gt;0,'Chemical Properties'!J59,'Chemical Properties'!J22)/$B$6)*(W65*$B$3+($B$12*AA65*$B$15)+($B$6-$B$12))+((IF(ABS('Chemical Properties'!I59)&gt;0,'Chemical Properties'!I59,'Chemical Properties'!I22)*$B$10*$B$3*$B$7)/$B$6)-B37)</f>
        <v>261.14628109358443</v>
      </c>
      <c r="Z65" s="105">
        <f>-IF(ABS('Chemical Properties'!J59)&gt;0,'Chemical Properties'!J59,'Chemical Properties'!J22)*B37</f>
        <v>-17.121913733084138</v>
      </c>
      <c r="AA65" s="105">
        <f>0.000001*$F$15*'Chemical Properties'!N22</f>
        <v>9.9865145680190467E-7</v>
      </c>
      <c r="AB65" s="105">
        <f t="shared" si="8"/>
        <v>9.0186032310180924</v>
      </c>
      <c r="AC65" s="105">
        <f>((IF(ABS('Chemical Properties'!J59)&gt;0,'Chemical Properties'!J59,'Chemical Properties'!J22)/$B$6)*(W65*$B$3+($F$16*$B$14*$B$6*$N$84*AA65)+($B$6-$B$12))+((IF(ABS('Chemical Properties'!I59)&gt;0,'Chemical Properties'!I59,'Chemical Properties'!I22)*$B$10*$B$3*$B$7)/$B$6)-B37)</f>
        <v>261.12227014109726</v>
      </c>
      <c r="AD65" s="105">
        <f>-IF(ABS('Chemical Properties'!J59)&gt;0,'Chemical Properties'!J59,'Chemical Properties'!J22)*B37</f>
        <v>-17.121913733084138</v>
      </c>
    </row>
    <row r="66" spans="5:30">
      <c r="E66" s="124"/>
      <c r="F66" s="114"/>
      <c r="G66" s="115"/>
      <c r="M66" s="65" t="s">
        <v>79</v>
      </c>
      <c r="N66" s="105">
        <f>$F$3/($F$4*IF(ABS('Chemical Properties'!F60)&gt;0,'Chemical Properties'!F60,'Chemical Properties'!F23))</f>
        <v>902.02020202020208</v>
      </c>
      <c r="O66" s="105">
        <f>$F$6/($F$7*IF(ABS('Chemical Properties'!G60)&gt;0,'Chemical Properties'!G60,'Chemical Properties'!G23))</f>
        <v>1.4503205128205132</v>
      </c>
      <c r="P66" s="105">
        <f>IF($N$43&lt;3.25,0.00000278*(IF(ABS('Chemical Properties'!F60)&gt;0,'Chemical Properties'!F60,'Chemical Properties'!F23)/$F$14)^(2/3),IF($N$80&lt;14,IF($N$82&lt;0.3,0.000001+0.0144*$N$82^2.2*N66^(-0.5),0.000001+0.00341*$N$82*N66^(-0.5)),IF($N$80&lt;=51.2,(0.000000002605*$N$80+0.0000001277)*$N$43^2*(IF(ABS('Chemical Properties'!F60)&gt;0,'Chemical Properties'!F60,'Chemical Properties'!F23)/$F$14)^(2/3),0.000000261*$N$43^2*(IF(ABS('Chemical Properties'!F60)&gt;0,'Chemical Properties'!F60,'Chemical Properties'!F23)/$F$14)^(2/3))))</f>
        <v>6.7098320583009582E-6</v>
      </c>
      <c r="Q66" s="105">
        <f t="shared" si="3"/>
        <v>8.0626234907690639E-3</v>
      </c>
      <c r="R66" s="105">
        <f>IF($B$13=0,0,(8.22*10^(-9)*$F$10*$B$8*1.024^($B$4-20)*$F$9*10^6*18/($B$13*10.758*$F$4)))*(IF(ABS('Chemical Properties'!F60)&gt;0,'Chemical Properties'!F60,'Chemical Properties'!F23)/0.000024)^(0.5)</f>
        <v>1.4858505857795513E-2</v>
      </c>
      <c r="S66" s="105">
        <f>1.35*10^(-7)*$N$77^(1.42)*$N$76^(0.4)*O66^(0.5)*$N$78^(-0.21)*IF(ABS('Chemical Properties'!G60)&gt;0,'Chemical Properties'!G60,'Chemical Properties'!G23)*29*$F$11^(-1)</f>
        <v>0.10881384631207766</v>
      </c>
      <c r="T66" s="105">
        <f>IF(ABS('Chemical Properties'!E60)&gt;0,'Chemical Properties'!E60,'Chemical Properties'!E23)/($F$5*($B$4+273.15))</f>
        <v>5.7193946510995644E-2</v>
      </c>
      <c r="U66" s="105">
        <f t="shared" si="6"/>
        <v>4.3862923540034567E-3</v>
      </c>
      <c r="V66" s="105">
        <f t="shared" si="7"/>
        <v>6.6135992671464584E-6</v>
      </c>
      <c r="W66" s="105">
        <f t="shared" si="4"/>
        <v>1.794237580792171E-3</v>
      </c>
      <c r="X66" s="105">
        <f t="shared" si="5"/>
        <v>3.1050959633356019</v>
      </c>
      <c r="Y66" s="105">
        <f>((IF(ABS('Chemical Properties'!J60)&gt;0,'Chemical Properties'!J60,'Chemical Properties'!J23)/$B$6)*(W66*$B$3+($B$12*AA66*$B$15)+($B$6-$B$12))+((IF(ABS('Chemical Properties'!I60)&gt;0,'Chemical Properties'!I60,'Chemical Properties'!I23)*$B$10*$B$3*$B$7)/$B$6)-B38)</f>
        <v>20.659302639831861</v>
      </c>
      <c r="Z66" s="105">
        <f>-IF(ABS('Chemical Properties'!J60)&gt;0,'Chemical Properties'!J60,'Chemical Properties'!J23)*B38</f>
        <v>-2.1429</v>
      </c>
      <c r="AA66" s="105">
        <f>0.000001*$F$15*'Chemical Properties'!N23</f>
        <v>4.7699512434615613E-6</v>
      </c>
      <c r="AB66" s="105">
        <f t="shared" si="8"/>
        <v>3.1983977791767679</v>
      </c>
      <c r="AC66" s="105">
        <f>((IF(ABS('Chemical Properties'!J60)&gt;0,'Chemical Properties'!J60,'Chemical Properties'!J23)/$B$6)*(W66*$B$3+($F$16*$B$14*$B$6*$N$84*AA66)+($B$6-$B$12))+((IF(ABS('Chemical Properties'!I60)&gt;0,'Chemical Properties'!I60,'Chemical Properties'!I23)*$B$10*$B$3*$B$7)/$B$6)-B38)</f>
        <v>20.644949100997895</v>
      </c>
      <c r="AD66" s="105">
        <f>-IF(ABS('Chemical Properties'!J60)&gt;0,'Chemical Properties'!J60,'Chemical Properties'!J23)*B38</f>
        <v>-2.1429</v>
      </c>
    </row>
    <row r="67" spans="5:30">
      <c r="E67" s="125"/>
      <c r="F67" s="114"/>
      <c r="G67" s="115"/>
      <c r="M67" s="65" t="s">
        <v>15</v>
      </c>
      <c r="N67" s="105">
        <f>$F$3/($F$4*IF(ABS('Chemical Properties'!F61)&gt;0,'Chemical Properties'!F61,'Chemical Properties'!F24))</f>
        <v>911.22448979591843</v>
      </c>
      <c r="O67" s="105">
        <f>$F$6/($F$7*IF(ABS('Chemical Properties'!G61)&gt;0,'Chemical Properties'!G61,'Chemical Properties'!G24))</f>
        <v>2.1425189393939394</v>
      </c>
      <c r="P67" s="105">
        <f>IF($N$43&lt;3.25,0.00000278*(IF(ABS('Chemical Properties'!F61)&gt;0,'Chemical Properties'!F61,'Chemical Properties'!F24)/$F$14)^(2/3),IF($N$80&lt;14,IF($N$82&lt;0.3,0.000001+0.0144*$N$82^2.2*N67^(-0.5),0.000001+0.00341*$N$82*N67^(-0.5)),IF($N$80&lt;=51.2,(0.000000002605*$N$80+0.0000001277)*$N$43^2*(IF(ABS('Chemical Properties'!F61)&gt;0,'Chemical Properties'!F61,'Chemical Properties'!F24)/$F$14)^(2/3),0.000000261*$N$43^2*(IF(ABS('Chemical Properties'!F61)&gt;0,'Chemical Properties'!F61,'Chemical Properties'!F24)/$F$14)^(2/3))))</f>
        <v>6.6809213304666372E-6</v>
      </c>
      <c r="Q67" s="105">
        <f t="shared" si="3"/>
        <v>6.2078001037768797E-3</v>
      </c>
      <c r="R67" s="105">
        <f>IF($B$13=0,0,(8.22*10^(-9)*$F$10*$B$8*1.024^($B$4-20)*$F$9*10^6*18/($B$13*10.758*$F$4)))*(IF(ABS('Chemical Properties'!F61)&gt;0,'Chemical Properties'!F61,'Chemical Properties'!F24)/0.000024)^(0.5)</f>
        <v>1.4783272433328172E-2</v>
      </c>
      <c r="S67" s="105">
        <f>1.35*10^(-7)*$N$77^(1.42)*$N$76^(0.4)*O67^(0.5)*$N$78^(-0.21)*IF(ABS('Chemical Properties'!G61)&gt;0,'Chemical Properties'!G61,'Chemical Properties'!G24)*29*$F$11^(-1)</f>
        <v>8.9526956711033487E-2</v>
      </c>
      <c r="T67" s="105">
        <f>IF(ABS('Chemical Properties'!E61)&gt;0,'Chemical Properties'!E61,'Chemical Properties'!E24)/($F$5*($B$4+273.15))</f>
        <v>1.5810040928396652E-9</v>
      </c>
      <c r="U67" s="105">
        <f t="shared" si="6"/>
        <v>1.4154248362442456E-10</v>
      </c>
      <c r="V67" s="105">
        <f t="shared" si="7"/>
        <v>9.8145429536210316E-12</v>
      </c>
      <c r="W67" s="105">
        <f t="shared" si="4"/>
        <v>6.3581049349867368E-11</v>
      </c>
      <c r="X67" s="105">
        <f t="shared" si="5"/>
        <v>0.90000888036986515</v>
      </c>
      <c r="Y67" s="105">
        <f>((IF(ABS('Chemical Properties'!J61)&gt;0,'Chemical Properties'!J61,'Chemical Properties'!J24)/$B$6)*(W67*$B$3+($B$12*AA67*$B$15)+($B$6-$B$12))+((IF(ABS('Chemical Properties'!I61)&gt;0,'Chemical Properties'!I61,'Chemical Properties'!I24)*$B$10*$B$3*$B$7)/$B$6)-B39)</f>
        <v>118.5571771990348</v>
      </c>
      <c r="Z67" s="105">
        <f>-IF(ABS('Chemical Properties'!J61)&gt;0,'Chemical Properties'!J61,'Chemical Properties'!J24)*B39</f>
        <v>-70.909099999999995</v>
      </c>
      <c r="AA67" s="105">
        <f>0.000001*$F$15*'Chemical Properties'!N24</f>
        <v>5.8683220531284451E-9</v>
      </c>
      <c r="AB67" s="105">
        <f t="shared" si="8"/>
        <v>1.0000006398030734</v>
      </c>
      <c r="AC67" s="105">
        <f>((IF(ABS('Chemical Properties'!J61)&gt;0,'Chemical Properties'!J61,'Chemical Properties'!J24)/$B$6)*(W67*$B$3+($F$16*$B$14*$B$6*$N$84*AA67)+($B$6-$B$12))+((IF(ABS('Chemical Properties'!I61)&gt;0,'Chemical Properties'!I61,'Chemical Properties'!I24)*$B$10*$B$3*$B$7)/$B$6)-B39)</f>
        <v>118.5565928678601</v>
      </c>
      <c r="AD67" s="105">
        <f>-IF(ABS('Chemical Properties'!J61)&gt;0,'Chemical Properties'!J61,'Chemical Properties'!J24)*B39</f>
        <v>-70.909099999999995</v>
      </c>
    </row>
    <row r="68" spans="5:30">
      <c r="E68" s="126"/>
      <c r="F68" s="114"/>
      <c r="G68" s="115"/>
      <c r="M68" s="65" t="s">
        <v>80</v>
      </c>
      <c r="N68" s="105">
        <f>$F$3/($F$4*IF(ABS('Chemical Properties'!F62)&gt;0,'Chemical Properties'!F62,'Chemical Properties'!F25))</f>
        <v>1355.0834597875571</v>
      </c>
      <c r="O68" s="105">
        <f>$F$6/($F$7*IF(ABS('Chemical Properties'!G62)&gt;0,'Chemical Properties'!G62,'Chemical Properties'!G25))</f>
        <v>2.0577535243292409</v>
      </c>
      <c r="P68" s="105">
        <f>IF($N$43&lt;3.25,0.00000278*(IF(ABS('Chemical Properties'!F62)&gt;0,'Chemical Properties'!F62,'Chemical Properties'!F25)/$F$14)^(2/3),IF($N$80&lt;14,IF($N$82&lt;0.3,0.000001+0.0144*$N$82^2.2*N68^(-0.5),0.000001+0.00341*$N$82*N68^(-0.5)),IF($N$80&lt;=51.2,(0.000000002605*$N$80+0.0000001277)*$N$43^2*(IF(ABS('Chemical Properties'!F62)&gt;0,'Chemical Properties'!F62,'Chemical Properties'!F25)/$F$14)^(2/3),0.000000261*$N$43^2*(IF(ABS('Chemical Properties'!F62)&gt;0,'Chemical Properties'!F62,'Chemical Properties'!F25)/$F$14)^(2/3))))</f>
        <v>5.6585251520442802E-6</v>
      </c>
      <c r="Q68" s="105">
        <f t="shared" si="3"/>
        <v>6.3779881090884807E-3</v>
      </c>
      <c r="R68" s="105">
        <f>IF($B$13=0,0,(8.22*10^(-9)*$F$10*$B$8*1.024^($B$4-20)*$F$9*10^6*18/($B$13*10.758*$F$4)))*(IF(ABS('Chemical Properties'!F62)&gt;0,'Chemical Properties'!F62,'Chemical Properties'!F25)/0.000024)^(0.5)</f>
        <v>1.2122724898660973E-2</v>
      </c>
      <c r="S68" s="105">
        <f>1.35*10^(-7)*$N$77^(1.42)*$N$76^(0.4)*O68^(0.5)*$N$78^(-0.21)*IF(ABS('Chemical Properties'!G62)&gt;0,'Chemical Properties'!G62,'Chemical Properties'!G25)*29*$F$11^(-1)</f>
        <v>9.1352298602635384E-2</v>
      </c>
      <c r="T68" s="105">
        <f>IF(ABS('Chemical Properties'!E62)&gt;0,'Chemical Properties'!E62,'Chemical Properties'!E25)/($F$5*($B$4+273.15))</f>
        <v>123.78404137736914</v>
      </c>
      <c r="U68" s="105">
        <f t="shared" si="6"/>
        <v>1.2109742617060222E-2</v>
      </c>
      <c r="V68" s="105">
        <f t="shared" si="7"/>
        <v>5.6584845960525632E-6</v>
      </c>
      <c r="W68" s="105">
        <f t="shared" si="4"/>
        <v>4.9461009876426518E-3</v>
      </c>
      <c r="X68" s="105">
        <f t="shared" si="5"/>
        <v>167.13783389002836</v>
      </c>
      <c r="Y68" s="105">
        <f>((IF(ABS('Chemical Properties'!J62)&gt;0,'Chemical Properties'!J62,'Chemical Properties'!J25)/$B$6)*(W68*$B$3+($B$12*AA68*$B$15)+($B$6-$B$12))+((IF(ABS('Chemical Properties'!I62)&gt;0,'Chemical Properties'!I62,'Chemical Properties'!I25)*$B$10*$B$3*$B$7)/$B$6)-B40)</f>
        <v>1849.853079911027</v>
      </c>
      <c r="Z68" s="105">
        <f>-IF(ABS('Chemical Properties'!J62)&gt;0,'Chemical Properties'!J62,'Chemical Properties'!J25)*B40</f>
        <v>-10.41967452478112</v>
      </c>
      <c r="AA68" s="105">
        <f>0.000001*$F$15*'Chemical Properties'!N25</f>
        <v>0.10678590678677739</v>
      </c>
      <c r="AB68" s="105">
        <f t="shared" si="8"/>
        <v>17.284169225974463</v>
      </c>
      <c r="AC68" s="105">
        <f>((IF(ABS('Chemical Properties'!J62)&gt;0,'Chemical Properties'!J62,'Chemical Properties'!J25)/$B$6)*(W68*$B$3+($F$16*$B$14*$B$6*$N$84*AA68)+($B$6-$B$12))+((IF(ABS('Chemical Properties'!I62)&gt;0,'Chemical Properties'!I62,'Chemical Properties'!I25)*$B$10*$B$3*$B$7)/$B$6)-B40)</f>
        <v>287.38470031341376</v>
      </c>
      <c r="AD68" s="105">
        <f>-IF(ABS('Chemical Properties'!J62)&gt;0,'Chemical Properties'!J62,'Chemical Properties'!J25)*B40</f>
        <v>-10.41967452478112</v>
      </c>
    </row>
    <row r="69" spans="5:30">
      <c r="E69" s="126"/>
      <c r="F69" s="114"/>
      <c r="G69" s="115"/>
      <c r="M69" s="65" t="s">
        <v>59</v>
      </c>
      <c r="N69" s="105" t="e">
        <f>$F$3/($F$4*IF(ABS('Chemical Properties'!F63)&gt;0,'Chemical Properties'!F63,'Chemical Properties'!F26))</f>
        <v>#DIV/0!</v>
      </c>
      <c r="O69" s="105" t="e">
        <f>$F$6/($F$7*IF(ABS('Chemical Properties'!G63)&gt;0,'Chemical Properties'!G63,'Chemical Properties'!G26))</f>
        <v>#DIV/0!</v>
      </c>
      <c r="P69" s="105" t="e">
        <f>IF($N$43&lt;3.25,0.00000278*(IF(ABS('Chemical Properties'!F63)&gt;0,'Chemical Properties'!F63,'Chemical Properties'!F26)/$F$14)^(2/3),IF($N$80&lt;14,IF($N$82&lt;0.3,0.000001+0.0144*$N$82^2.2*N69^(-0.5),0.000001+0.00341*$N$82*N69^(-0.5)),IF($N$80&lt;=51.2,(0.000000002605*$N$80+0.0000001277)*$N$43^2*(IF(ABS('Chemical Properties'!F63)&gt;0,'Chemical Properties'!F63,'Chemical Properties'!F26)/$F$14)^(2/3),0.000000261*$N$43^2*(IF(ABS('Chemical Properties'!F63)&gt;0,'Chemical Properties'!F63,'Chemical Properties'!F26)/$F$14)^(2/3))))</f>
        <v>#DIV/0!</v>
      </c>
      <c r="Q69" s="105" t="e">
        <f t="shared" si="3"/>
        <v>#DIV/0!</v>
      </c>
      <c r="R69" s="105">
        <f>IF($B$13=0,0,(8.22*10^(-9)*$F$10*$B$8*1.024^($B$4-20)*$F$9*10^6*18/($B$13*10.758*$F$4)))*(IF(ABS('Chemical Properties'!F63)&gt;0,'Chemical Properties'!F63,'Chemical Properties'!F26)/0.000024)^(0.5)</f>
        <v>0</v>
      </c>
      <c r="S69" s="105" t="e">
        <f>1.35*10^(-7)*$N$77^(1.42)*$N$76^(0.4)*O69^(0.5)*$N$78^(-0.21)*IF(ABS('Chemical Properties'!G63)&gt;0,'Chemical Properties'!G63,'Chemical Properties'!G26)*29*$F$11^(-1)</f>
        <v>#DIV/0!</v>
      </c>
      <c r="T69" s="105">
        <f>IF(ABS('Chemical Properties'!E63)&gt;0,'Chemical Properties'!E63,'Chemical Properties'!E26)/($F$5*($B$4+273.15))</f>
        <v>0</v>
      </c>
      <c r="U69" s="105" t="e">
        <f>(R69*T69*S69)/(T69*S69+R69)</f>
        <v>#DIV/0!</v>
      </c>
      <c r="V69" s="105" t="e">
        <f>(P69*T69*Q69)/(T69*Q69+P69)</f>
        <v>#DIV/0!</v>
      </c>
      <c r="W69" s="105" t="e">
        <f t="shared" si="4"/>
        <v>#DIV/0!</v>
      </c>
      <c r="X69" s="105" t="e">
        <f t="shared" si="5"/>
        <v>#DIV/0!</v>
      </c>
      <c r="Y69" s="105" t="e">
        <f>((IF(ABS('Chemical Properties'!J63)&gt;0,'Chemical Properties'!J63,'Chemical Properties'!J26)/$B$6)*(W69*$B$3+($B$12*AA69*$B$15)+($B$6-$B$12))+((IF(ABS('Chemical Properties'!I63)&gt;0,'Chemical Properties'!I63,'Chemical Properties'!I26)*$B$10*$B$3*$B$7)/$B$6)-B41)</f>
        <v>#DIV/0!</v>
      </c>
      <c r="Z69" s="105">
        <f>-IF(ABS('Chemical Properties'!J63)&gt;0,'Chemical Properties'!J63,'Chemical Properties'!J26)*B41</f>
        <v>0</v>
      </c>
      <c r="AA69" s="105">
        <f>0.000001*$F$15*'Chemical Properties'!N26</f>
        <v>1.5794793046647064E-7</v>
      </c>
      <c r="AB69" s="105" t="e">
        <f t="shared" si="8"/>
        <v>#DIV/0!</v>
      </c>
      <c r="AC69" s="105" t="e">
        <f>((IF(ABS('Chemical Properties'!J63)&gt;0,'Chemical Properties'!J63,'Chemical Properties'!J26)/$B$6)*(W69*$B$3+($F$16*$B$14*$B$6*$N$84*AA69)+($B$6-$B$12))+((IF(ABS('Chemical Properties'!I63)&gt;0,'Chemical Properties'!I63,'Chemical Properties'!I26)*$B$10*$B$3*$B$7)/$B$6)-B41)</f>
        <v>#DIV/0!</v>
      </c>
      <c r="AD69" s="105">
        <f>-IF(ABS('Chemical Properties'!J63)&gt;0,'Chemical Properties'!J63,'Chemical Properties'!J26)*B41</f>
        <v>0</v>
      </c>
    </row>
    <row r="70" spans="5:30">
      <c r="E70" s="126"/>
      <c r="F70" s="114"/>
      <c r="G70" s="115"/>
      <c r="M70" s="81" t="s">
        <v>60</v>
      </c>
      <c r="N70" s="105" t="e">
        <f>$F$3/($F$4*IF(ABS('Chemical Properties'!F64)&gt;0,'Chemical Properties'!F64,'Chemical Properties'!F27))</f>
        <v>#DIV/0!</v>
      </c>
      <c r="O70" s="105" t="e">
        <f>$F$6/($F$7*IF(ABS('Chemical Properties'!G64)&gt;0,'Chemical Properties'!G64,'Chemical Properties'!G27))</f>
        <v>#DIV/0!</v>
      </c>
      <c r="P70" s="105" t="e">
        <f>IF($N$43&lt;3.25,0.00000278*(IF(ABS('Chemical Properties'!F64)&gt;0,'Chemical Properties'!F64,'Chemical Properties'!F27)/$F$14)^(2/3),IF($N$80&lt;14,IF($N$82&lt;0.3,0.000001+0.0144*$N$82^2.2*N70^(-0.5),0.000001+0.00341*$N$82*N70^(-0.5)),IF($N$80&lt;=51.2,(0.000000002605*$N$80+0.0000001277)*$N$43^2*(IF(ABS('Chemical Properties'!F64)&gt;0,'Chemical Properties'!F64,'Chemical Properties'!F27)/$F$14)^(2/3),0.000000261*$N$43^2*(IF(ABS('Chemical Properties'!F64)&gt;0,'Chemical Properties'!F64,'Chemical Properties'!F27)/$F$14)^(2/3))))</f>
        <v>#DIV/0!</v>
      </c>
      <c r="Q70" s="105" t="e">
        <f t="shared" si="3"/>
        <v>#DIV/0!</v>
      </c>
      <c r="R70" s="105">
        <f>IF($B$13=0,0,(8.22*10^(-9)*$F$10*$B$8*1.024^($B$4-20)*$F$9*10^6*18/($B$13*10.758*$F$4)))*(IF(ABS('Chemical Properties'!F64)&gt;0,'Chemical Properties'!F64,'Chemical Properties'!F27)/0.000024)^(0.5)</f>
        <v>0</v>
      </c>
      <c r="S70" s="105" t="e">
        <f>1.35*10^(-7)*$N$77^(1.42)*$N$76^(0.4)*O70^(0.5)*$N$78^(-0.21)*IF(ABS('Chemical Properties'!G64)&gt;0,'Chemical Properties'!G64,'Chemical Properties'!G27)*29*$F$11^(-1)</f>
        <v>#DIV/0!</v>
      </c>
      <c r="T70" s="105">
        <f>IF(ABS('Chemical Properties'!E64)&gt;0,'Chemical Properties'!E64,'Chemical Properties'!E27)/($F$5*($B$4+273.15))</f>
        <v>0</v>
      </c>
      <c r="U70" s="105" t="e">
        <f>(R70*T70*S70)/(T70*S70+R70)</f>
        <v>#DIV/0!</v>
      </c>
      <c r="V70" s="105" t="e">
        <f>(P70*T70*Q70)/(T70*Q70+P70)</f>
        <v>#DIV/0!</v>
      </c>
      <c r="W70" s="105" t="e">
        <f t="shared" si="4"/>
        <v>#DIV/0!</v>
      </c>
      <c r="X70" s="105" t="e">
        <f t="shared" si="5"/>
        <v>#DIV/0!</v>
      </c>
      <c r="Y70" s="105" t="e">
        <f>((IF(ABS('Chemical Properties'!J64)&gt;0,'Chemical Properties'!J64,'Chemical Properties'!J27)/$B$6)*(W70*$B$3+($B$12*AA70*$B$15)+($B$6-$B$12))+((IF(ABS('Chemical Properties'!I64)&gt;0,'Chemical Properties'!I64,'Chemical Properties'!I27)*$B$10*$B$3*$B$7)/$B$6)-B42)</f>
        <v>#DIV/0!</v>
      </c>
      <c r="Z70" s="105">
        <f>-IF(ABS('Chemical Properties'!J64)&gt;0,'Chemical Properties'!J64,'Chemical Properties'!J27)*B42</f>
        <v>0</v>
      </c>
      <c r="AA70" s="105">
        <f>0.000001*$F$15*'Chemical Properties'!N27</f>
        <v>1.5794793046647064E-7</v>
      </c>
      <c r="AB70" s="105" t="e">
        <f t="shared" si="8"/>
        <v>#DIV/0!</v>
      </c>
      <c r="AC70" s="105" t="e">
        <f>((IF(ABS('Chemical Properties'!J64)&gt;0,'Chemical Properties'!J64,'Chemical Properties'!J27)/$B$6)*(W70*$B$3+($F$16*$B$14*$B$6*$N$84*AA70)+($B$6-$B$12))+((IF(ABS('Chemical Properties'!I64)&gt;0,'Chemical Properties'!I64,'Chemical Properties'!I27)*$B$10*$B$3*$B$7)/$B$6)-B42)</f>
        <v>#DIV/0!</v>
      </c>
      <c r="AD70" s="105">
        <f>-IF(ABS('Chemical Properties'!J64)&gt;0,'Chemical Properties'!J64,'Chemical Properties'!J27)*B42</f>
        <v>0</v>
      </c>
    </row>
    <row r="71" spans="5:30">
      <c r="E71" s="126"/>
      <c r="F71" s="114"/>
      <c r="G71" s="115"/>
      <c r="M71" s="65" t="s">
        <v>61</v>
      </c>
      <c r="N71" s="105" t="e">
        <f>$F$3/($F$4*IF(ABS('Chemical Properties'!F65)&gt;0,'Chemical Properties'!F65,'Chemical Properties'!F28))</f>
        <v>#DIV/0!</v>
      </c>
      <c r="O71" s="105" t="e">
        <f>$F$6/($F$7*IF(ABS('Chemical Properties'!G65)&gt;0,'Chemical Properties'!G65,'Chemical Properties'!G28))</f>
        <v>#DIV/0!</v>
      </c>
      <c r="P71" s="105" t="e">
        <f>IF($N$43&lt;3.25,0.00000278*(IF(ABS('Chemical Properties'!F65)&gt;0,'Chemical Properties'!F65,'Chemical Properties'!F28)/$F$14)^(2/3),IF($N$80&lt;14,IF($N$82&lt;0.3,0.000001+0.0144*$N$82^2.2*N71^(-0.5),0.000001+0.00341*$N$82*N71^(-0.5)),IF($N$80&lt;=51.2,(0.000000002605*$N$80+0.0000001277)*$N$43^2*(IF(ABS('Chemical Properties'!F65)&gt;0,'Chemical Properties'!F65,'Chemical Properties'!F28)/$F$14)^(2/3),0.000000261*$N$43^2*(IF(ABS('Chemical Properties'!F65)&gt;0,'Chemical Properties'!F65,'Chemical Properties'!F28)/$F$14)^(2/3))))</f>
        <v>#DIV/0!</v>
      </c>
      <c r="Q71" s="105" t="e">
        <f t="shared" si="3"/>
        <v>#DIV/0!</v>
      </c>
      <c r="R71" s="105">
        <f>IF($B$13=0,0,(8.22*10^(-9)*$F$10*$B$8*1.024^($B$4-20)*$F$9*10^6*18/($B$13*10.758*$F$4)))*(IF(ABS('Chemical Properties'!F65)&gt;0,'Chemical Properties'!F65,'Chemical Properties'!F28)/0.000024)^(0.5)</f>
        <v>0</v>
      </c>
      <c r="S71" s="105" t="e">
        <f>1.35*10^(-7)*$N$77^(1.42)*$N$76^(0.4)*O71^(0.5)*$N$78^(-0.21)*IF(ABS('Chemical Properties'!G65)&gt;0,'Chemical Properties'!G65,'Chemical Properties'!G28)*29*$F$11^(-1)</f>
        <v>#DIV/0!</v>
      </c>
      <c r="T71" s="105">
        <f>IF(ABS('Chemical Properties'!E65)&gt;0,'Chemical Properties'!E65,'Chemical Properties'!E28)/($F$5*($B$4+273.15))</f>
        <v>0</v>
      </c>
      <c r="U71" s="105" t="e">
        <f>(R71*T71*S71)/(T71*S71+R71)</f>
        <v>#DIV/0!</v>
      </c>
      <c r="V71" s="105" t="e">
        <f>(P71*T71*Q71)/(T71*Q71+P71)</f>
        <v>#DIV/0!</v>
      </c>
      <c r="W71" s="105" t="e">
        <f t="shared" si="4"/>
        <v>#DIV/0!</v>
      </c>
      <c r="X71" s="105" t="e">
        <f t="shared" si="5"/>
        <v>#DIV/0!</v>
      </c>
      <c r="Y71" s="105" t="e">
        <f>((IF(ABS('Chemical Properties'!J65)&gt;0,'Chemical Properties'!J65,'Chemical Properties'!J28)/$B$6)*(W71*$B$3+($B$12*AA71*$B$15)+($B$6-$B$12))+((IF(ABS('Chemical Properties'!I65)&gt;0,'Chemical Properties'!I65,'Chemical Properties'!I28)*$B$10*$B$3*$B$7)/$B$6)-B43)</f>
        <v>#DIV/0!</v>
      </c>
      <c r="Z71" s="105">
        <f>-IF(ABS('Chemical Properties'!J65)&gt;0,'Chemical Properties'!J65,'Chemical Properties'!J28)*B43</f>
        <v>0</v>
      </c>
      <c r="AA71" s="105">
        <f>0.000001*$F$15*'Chemical Properties'!N28</f>
        <v>1.5794793046647064E-7</v>
      </c>
      <c r="AB71" s="105" t="e">
        <f t="shared" si="8"/>
        <v>#DIV/0!</v>
      </c>
      <c r="AC71" s="105" t="e">
        <f>((IF(ABS('Chemical Properties'!J65)&gt;0,'Chemical Properties'!J65,'Chemical Properties'!J28)/$B$6)*(W71*$B$3+($F$16*$B$14*$B$6*$N$84*AA71)+($B$6-$B$12))+((IF(ABS('Chemical Properties'!I65)&gt;0,'Chemical Properties'!I65,'Chemical Properties'!I28)*$B$10*$B$3*$B$7)/$B$6)-B43)</f>
        <v>#DIV/0!</v>
      </c>
      <c r="AD71" s="105">
        <f>-IF(ABS('Chemical Properties'!J65)&gt;0,'Chemical Properties'!J65,'Chemical Properties'!J28)*B43</f>
        <v>0</v>
      </c>
    </row>
    <row r="72" spans="5:30">
      <c r="E72" s="126"/>
      <c r="F72" s="114"/>
      <c r="G72" s="115"/>
      <c r="M72" s="65" t="s">
        <v>256</v>
      </c>
      <c r="N72" s="105">
        <f>$F$3/($F$4*IF(ABS('Chemical Properties'!F66)&gt;0,'Chemical Properties'!F66,'Chemical Properties'!F29))</f>
        <v>866.990291262136</v>
      </c>
      <c r="O72" s="105">
        <f>$F$6/($F$7*IF(ABS('Chemical Properties'!G66)&gt;0,'Chemical Properties'!G66,'Chemical Properties'!G29))</f>
        <v>1.5204973118279572</v>
      </c>
      <c r="P72" s="105">
        <f>IF($N$43&lt;3.25,0.00000278*(IF(ABS('Chemical Properties'!F66)&gt;0,'Chemical Properties'!F66,'Chemical Properties'!F29)/$F$14)^(2/3),IF($N$80&lt;14,IF($N$82&lt;0.3,0.000001+0.0144*$N$82^2.2*N72^(-0.5),0.000001+0.00341*$N$82*N72^(-0.5)),IF($N$80&lt;=51.2,(0.000000002605*$N$80+0.0000001277)*$N$43^2*(IF(ABS('Chemical Properties'!F66)&gt;0,'Chemical Properties'!F66,'Chemical Properties'!F29)/$F$14)^(2/3),0.000000261*$N$43^2*(IF(ABS('Chemical Properties'!F66)&gt;0,'Chemical Properties'!F66,'Chemical Properties'!F29)/$F$14)^(2/3))))</f>
        <v>6.8240400082935059E-6</v>
      </c>
      <c r="Q72" s="105">
        <f t="shared" si="3"/>
        <v>7.8113637605778654E-3</v>
      </c>
      <c r="R72" s="105">
        <f>IF($B$13=0,0,(8.22*10^(-9)*$F$10*$B$8*1.024^($B$4-20)*$F$9*10^6*18/($B$13*10.758*$F$4)))*(IF(ABS('Chemical Properties'!F66)&gt;0,'Chemical Properties'!F66,'Chemical Properties'!F29)/0.000024)^(0.5)</f>
        <v>1.5155705403534175E-2</v>
      </c>
      <c r="S72" s="105">
        <f>1.35*10^(-7)*$N$77^(1.42)*$N$76^(0.4)*O72^(0.5)*$N$78^(-0.21)*IF(ABS('Chemical Properties'!G66)&gt;0,'Chemical Properties'!G66,'Chemical Properties'!G29)*29*$F$11^(-1)</f>
        <v>0.10627309488382819</v>
      </c>
      <c r="T72" s="105">
        <f>IF(ABS('Chemical Properties'!E66)&gt;0,'Chemical Properties'!E66,'Chemical Properties'!E29)/($F$5*($B$4+273.15))</f>
        <v>38.810177989604185</v>
      </c>
      <c r="U72" s="105">
        <f>(R72*T72*S72)/(T72*S72+R72)</f>
        <v>1.5100218508383469E-2</v>
      </c>
      <c r="V72" s="105">
        <f>(P72*T72*Q72)/(T72*Q72+P72)</f>
        <v>6.8238864048839215E-6</v>
      </c>
      <c r="W72" s="105">
        <f t="shared" si="4"/>
        <v>6.1673931198655309E-3</v>
      </c>
      <c r="X72" s="105">
        <f t="shared" si="5"/>
        <v>8.6389665102383759</v>
      </c>
      <c r="Y72" s="105">
        <f>((IF(ABS('Chemical Properties'!J66)&gt;0,'Chemical Properties'!J66,'Chemical Properties'!J29)/$B$6)*(W72*$B$3+($B$12*AA72*$B$15)+($B$6-$B$12))+((IF(ABS('Chemical Properties'!I66)&gt;0,'Chemical Properties'!I66,'Chemical Properties'!I29)*$B$10*$B$3*$B$7)/$B$6)-B44)</f>
        <v>198.34646926716806</v>
      </c>
      <c r="Z72" s="105">
        <f>-IF(ABS('Chemical Properties'!J66)&gt;0,'Chemical Properties'!J66,'Chemical Properties'!J29)*B44</f>
        <v>-10.41967452478112</v>
      </c>
      <c r="AA72" s="105">
        <f>0.000001*$F$15*'Chemical Properties'!N29</f>
        <v>1.226066256020671E-4</v>
      </c>
      <c r="AB72" s="105">
        <f t="shared" si="8"/>
        <v>8.5667966670976146</v>
      </c>
      <c r="AC72" s="105">
        <f>((IF(ABS('Chemical Properties'!J66)&gt;0,'Chemical Properties'!J66,'Chemical Properties'!J29)/$B$6)*(W72*$B$3+($F$16*$B$14*$B$6*$N$84*AA72)+($B$6-$B$12))+((IF(ABS('Chemical Properties'!I66)&gt;0,'Chemical Properties'!I66,'Chemical Properties'!I29)*$B$10*$B$3*$B$7)/$B$6)-B44)</f>
        <v>196.55251553865867</v>
      </c>
      <c r="AD72" s="105">
        <f>-IF(ABS('Chemical Properties'!J66)&gt;0,'Chemical Properties'!J66,'Chemical Properties'!J29)*B44</f>
        <v>-10.41967452478112</v>
      </c>
    </row>
    <row r="73" spans="5:30">
      <c r="E73" s="126"/>
      <c r="F73" s="114"/>
      <c r="G73" s="115"/>
    </row>
    <row r="74" spans="5:30">
      <c r="E74" s="126"/>
      <c r="F74" s="114"/>
      <c r="G74" s="115"/>
      <c r="M74" s="91"/>
      <c r="N74" s="107"/>
      <c r="O74" s="107"/>
      <c r="P74" s="107"/>
      <c r="Q74" s="107"/>
      <c r="R74" s="107"/>
      <c r="S74" s="107"/>
      <c r="T74" s="107"/>
      <c r="U74" s="107"/>
      <c r="V74" s="107"/>
      <c r="W74" s="107"/>
      <c r="X74" s="107"/>
      <c r="Y74" s="107"/>
      <c r="Z74" s="107"/>
      <c r="AA74" s="107"/>
      <c r="AB74" s="107"/>
      <c r="AC74" s="107"/>
      <c r="AD74" s="107"/>
    </row>
    <row r="75" spans="5:30">
      <c r="E75" s="126"/>
      <c r="F75" s="114"/>
      <c r="G75" s="115"/>
      <c r="M75" s="55"/>
      <c r="N75" s="107"/>
      <c r="O75" s="107"/>
      <c r="P75" s="107"/>
      <c r="Q75" s="107"/>
      <c r="R75" s="107"/>
      <c r="S75" s="107"/>
      <c r="T75" s="107"/>
      <c r="U75" s="107"/>
      <c r="V75" s="107"/>
      <c r="W75" s="107"/>
      <c r="X75" s="106"/>
      <c r="Y75" s="106"/>
      <c r="Z75" s="106"/>
      <c r="AA75" s="106"/>
    </row>
    <row r="76" spans="5:30">
      <c r="E76" s="126"/>
      <c r="F76" s="114"/>
      <c r="G76" s="115"/>
      <c r="M76" s="71" t="s">
        <v>39</v>
      </c>
      <c r="N76" s="105">
        <f>(((0.85*550*B8/B9)*32.17)/((62.428*F4)*F13^(3)*(F11/30.48)^(5)))</f>
        <v>2.2507046475348197E-4</v>
      </c>
      <c r="O76" s="107"/>
      <c r="P76" s="107"/>
      <c r="Q76" s="107"/>
      <c r="R76" s="107"/>
      <c r="S76" s="107"/>
      <c r="T76" s="107"/>
      <c r="U76" s="107"/>
      <c r="V76" s="107"/>
      <c r="W76" s="107"/>
      <c r="X76" s="106"/>
      <c r="Y76" s="106"/>
      <c r="Z76" s="106"/>
      <c r="AA76" s="106"/>
    </row>
    <row r="77" spans="5:30">
      <c r="E77" s="126"/>
      <c r="F77" s="114"/>
      <c r="G77" s="115"/>
      <c r="M77" s="71" t="s">
        <v>40</v>
      </c>
      <c r="N77" s="105">
        <f>(F11^(2)*F13*F7/F6)</f>
        <v>3108371.2707182318</v>
      </c>
      <c r="O77" s="107"/>
      <c r="P77" s="107"/>
      <c r="Q77" s="107"/>
      <c r="R77" s="107"/>
      <c r="S77" s="107"/>
      <c r="T77" s="107"/>
      <c r="U77" s="107"/>
      <c r="V77" s="107"/>
      <c r="W77" s="106"/>
      <c r="X77" s="106"/>
      <c r="Y77" s="106"/>
      <c r="Z77" s="106"/>
      <c r="AA77" s="106"/>
    </row>
    <row r="78" spans="5:30">
      <c r="M78" s="71" t="s">
        <v>41</v>
      </c>
      <c r="N78" s="105">
        <f>F12*F13^(2)/32.17</f>
        <v>987.00652782095119</v>
      </c>
      <c r="O78" s="107"/>
      <c r="P78" s="107"/>
      <c r="Q78" s="107"/>
      <c r="R78" s="107"/>
      <c r="S78" s="107"/>
      <c r="T78" s="107"/>
      <c r="U78" s="107"/>
      <c r="V78" s="107"/>
      <c r="W78" s="106"/>
      <c r="X78" s="106"/>
      <c r="Y78" s="106"/>
      <c r="Z78" s="106"/>
      <c r="AA78" s="106"/>
    </row>
    <row r="79" spans="5:30" ht="15.75">
      <c r="M79" s="71" t="s">
        <v>53</v>
      </c>
      <c r="N79" s="105">
        <f>B13*10.758</f>
        <v>5379</v>
      </c>
      <c r="O79" s="107"/>
      <c r="P79" s="107"/>
      <c r="Q79" s="107"/>
      <c r="R79" s="107"/>
      <c r="S79" s="107"/>
      <c r="T79" s="107"/>
      <c r="U79" s="107"/>
      <c r="V79" s="107"/>
      <c r="W79" s="106"/>
      <c r="X79" s="106"/>
      <c r="Y79" s="106"/>
      <c r="Z79" s="106"/>
      <c r="AA79" s="106"/>
    </row>
    <row r="80" spans="5:30">
      <c r="M80" s="71" t="s">
        <v>54</v>
      </c>
      <c r="N80" s="108">
        <f>2*($B$3/PI())^0.5/$B$7</f>
        <v>5.6418958354775635</v>
      </c>
      <c r="O80" s="107"/>
      <c r="P80" s="107"/>
      <c r="Q80" s="107"/>
      <c r="R80" s="107"/>
      <c r="S80" s="107"/>
      <c r="T80" s="107"/>
      <c r="U80" s="107"/>
      <c r="V80" s="107"/>
      <c r="W80" s="106"/>
      <c r="X80" s="106"/>
      <c r="Y80" s="106"/>
      <c r="Z80" s="106"/>
      <c r="AA80" s="106"/>
    </row>
    <row r="81" spans="13:27">
      <c r="M81" s="71" t="s">
        <v>55</v>
      </c>
      <c r="N81" s="108">
        <f>2*(B3/3.14)^(0.5)</f>
        <v>39.503285358817024</v>
      </c>
      <c r="O81" s="107"/>
      <c r="P81" s="107"/>
      <c r="Q81" s="107"/>
      <c r="R81" s="107"/>
      <c r="S81" s="107"/>
      <c r="T81" s="107"/>
      <c r="U81" s="107"/>
      <c r="V81" s="107"/>
      <c r="W81" s="106"/>
      <c r="X81" s="106"/>
      <c r="Y81" s="106"/>
      <c r="Z81" s="106"/>
      <c r="AA81" s="106"/>
    </row>
    <row r="82" spans="13:27">
      <c r="M82" s="71" t="s">
        <v>87</v>
      </c>
      <c r="N82" s="108">
        <f>0.01*$N$43*(6.1+0.63*$N$43)^0.5</f>
        <v>0.13347348144481735</v>
      </c>
      <c r="O82" s="107"/>
      <c r="P82" s="107"/>
      <c r="Q82" s="107"/>
      <c r="R82" s="107"/>
      <c r="S82" s="107"/>
      <c r="T82" s="107"/>
      <c r="U82" s="107"/>
      <c r="V82" s="107"/>
      <c r="W82" s="106"/>
      <c r="X82" s="106"/>
      <c r="Y82" s="106"/>
      <c r="Z82" s="106"/>
      <c r="AA82" s="106"/>
    </row>
    <row r="83" spans="13:27" ht="14.25">
      <c r="M83" s="71" t="s">
        <v>165</v>
      </c>
      <c r="N83" s="71">
        <f>IF(ABS(B12=0),1463,IF(ABS(B15=0),1463,B15))</f>
        <v>15000</v>
      </c>
      <c r="O83" s="106"/>
      <c r="P83" s="106"/>
      <c r="Q83" s="106"/>
      <c r="R83" s="106"/>
      <c r="S83" s="106"/>
      <c r="T83" s="106"/>
      <c r="U83" s="106"/>
      <c r="V83" s="106"/>
      <c r="W83" s="106"/>
      <c r="X83" s="106"/>
      <c r="Y83" s="106"/>
      <c r="Z83" s="106"/>
      <c r="AA83" s="106"/>
    </row>
    <row r="84" spans="13:27">
      <c r="M84" s="71" t="s">
        <v>273</v>
      </c>
      <c r="N84" s="108">
        <f>IF((0.02*B10*B3*B7/3600)/(B14*B6)&gt;1,1,(0.02*B10*B3*B7/3600)/(B14*B6))</f>
        <v>0.57166666666666666</v>
      </c>
      <c r="O84" s="106"/>
      <c r="P84" s="106"/>
      <c r="Q84" s="106"/>
      <c r="R84" s="106"/>
      <c r="S84" s="106"/>
      <c r="T84" s="106"/>
      <c r="U84" s="106"/>
      <c r="V84" s="106"/>
      <c r="W84" s="106"/>
      <c r="X84" s="106"/>
      <c r="Y84" s="106"/>
      <c r="Z84" s="106"/>
      <c r="AA84" s="106"/>
    </row>
    <row r="87" spans="13:27">
      <c r="M87" s="307" t="s">
        <v>159</v>
      </c>
      <c r="N87" s="307"/>
      <c r="O87" s="307"/>
      <c r="P87" s="307"/>
      <c r="Q87" s="307"/>
      <c r="R87" s="307"/>
      <c r="S87" s="307"/>
      <c r="T87" s="307"/>
      <c r="U87" s="147"/>
      <c r="V87" s="147"/>
      <c r="W87" s="147"/>
    </row>
    <row r="88" spans="13:27" ht="38.25">
      <c r="M88" s="128" t="s">
        <v>153</v>
      </c>
      <c r="N88" s="143" t="s">
        <v>155</v>
      </c>
      <c r="O88" s="129" t="s">
        <v>156</v>
      </c>
      <c r="P88" s="129" t="s">
        <v>157</v>
      </c>
      <c r="Q88" s="144" t="s">
        <v>175</v>
      </c>
      <c r="R88" s="144" t="s">
        <v>177</v>
      </c>
      <c r="S88" s="148" t="s">
        <v>158</v>
      </c>
      <c r="T88" s="148" t="s">
        <v>154</v>
      </c>
      <c r="U88" s="149" t="s">
        <v>178</v>
      </c>
      <c r="V88" s="149" t="s">
        <v>176</v>
      </c>
      <c r="W88" s="150" t="s">
        <v>180</v>
      </c>
    </row>
    <row r="89" spans="13:27">
      <c r="M89" s="60" t="s">
        <v>17</v>
      </c>
      <c r="N89" s="72">
        <f t="shared" ref="N89:N110" si="9">$B$6*B19</f>
        <v>1</v>
      </c>
      <c r="O89" s="127">
        <f t="shared" ref="O89:O114" si="10">M3*($B$6-$B$12)</f>
        <v>0.38532245035754015</v>
      </c>
      <c r="P89" s="127">
        <f>K3</f>
        <v>5.67695419062855E-3</v>
      </c>
      <c r="Q89" s="127">
        <f>IF($B$12&gt;0,$B$12*$B$15,$B$14*$F$16*$N$84)*M3*AA47</f>
        <v>1.977821086943951E-5</v>
      </c>
      <c r="R89" s="127">
        <f>($B$3*$B$7)*(IF(ABS('Chemical Properties'!I41)&gt;0,'Chemical Properties'!I41,'Chemical Properties'!I4))*$B$10*M3/(IF(ABS('Chemical Properties'!J41)&gt;0,'Chemical Properties'!J41,'Chemical Properties'!J4)+M3)</f>
        <v>0.60898081724097008</v>
      </c>
      <c r="S89" s="130">
        <f t="shared" ref="S89:S110" si="11">O89/N89*100</f>
        <v>38.532245035754016</v>
      </c>
      <c r="T89" s="130">
        <f t="shared" ref="T89:T110" si="12">P89/N89*100</f>
        <v>0.56769541906285503</v>
      </c>
      <c r="U89" s="130">
        <f t="shared" ref="U89:U110" si="13">R89/N89*100</f>
        <v>60.898081724097011</v>
      </c>
      <c r="V89" s="142">
        <f t="shared" ref="V89:V110" si="14">Q89/N89*100</f>
        <v>1.977821086943951E-3</v>
      </c>
      <c r="W89" s="130">
        <f>(O89+P89+Q89+R89)/N89*100</f>
        <v>100.00000000000082</v>
      </c>
    </row>
    <row r="90" spans="13:27">
      <c r="M90" s="62" t="s">
        <v>6</v>
      </c>
      <c r="N90" s="72">
        <f t="shared" si="9"/>
        <v>1</v>
      </c>
      <c r="O90" s="127">
        <f t="shared" si="10"/>
        <v>5.8523194410587648E-2</v>
      </c>
      <c r="P90" s="127">
        <f t="shared" ref="P90:P110" si="15">K4</f>
        <v>0.29197199513472583</v>
      </c>
      <c r="Q90" s="127">
        <f t="shared" ref="Q90:Q114" si="16">IF($B$12&gt;0,$B$12*$B$15,$B$14*$F$16*$N$84)*M4*AA48</f>
        <v>2.0782161382297271E-3</v>
      </c>
      <c r="R90" s="127">
        <f>($B$3*$B$7)*(IF(ABS('Chemical Properties'!I42)&gt;0,'Chemical Properties'!I42,'Chemical Properties'!I5))*$B$10*M4/(IF(ABS('Chemical Properties'!J42)&gt;0,'Chemical Properties'!J42,'Chemical Properties'!J5)+M4)</f>
        <v>0.64742659431647664</v>
      </c>
      <c r="S90" s="130">
        <f t="shared" si="11"/>
        <v>5.8523194410587651</v>
      </c>
      <c r="T90" s="130">
        <f t="shared" si="12"/>
        <v>29.197199513472583</v>
      </c>
      <c r="U90" s="130">
        <f t="shared" si="13"/>
        <v>64.742659431647667</v>
      </c>
      <c r="V90" s="142">
        <f t="shared" si="14"/>
        <v>0.20782161382297271</v>
      </c>
      <c r="W90" s="130">
        <f t="shared" ref="W90:W110" si="17">(O90+P90+Q90+R90)/N90*100</f>
        <v>100.00000000000198</v>
      </c>
    </row>
    <row r="91" spans="13:27">
      <c r="M91" s="62" t="s">
        <v>13</v>
      </c>
      <c r="N91" s="72">
        <f t="shared" si="9"/>
        <v>1</v>
      </c>
      <c r="O91" s="127">
        <f t="shared" si="10"/>
        <v>6.4252202025337934E-2</v>
      </c>
      <c r="P91" s="127">
        <f t="shared" si="15"/>
        <v>0.48008293443072192</v>
      </c>
      <c r="Q91" s="127">
        <f t="shared" si="16"/>
        <v>1.6914170563026179E-3</v>
      </c>
      <c r="R91" s="127">
        <f>($B$3*$B$7)*(IF(ABS('Chemical Properties'!I43)&gt;0,'Chemical Properties'!I43,'Chemical Properties'!I6))*$B$10*M5/(IF(ABS('Chemical Properties'!J43)&gt;0,'Chemical Properties'!J43,'Chemical Properties'!J6)+M5)</f>
        <v>0.45397344648762905</v>
      </c>
      <c r="S91" s="130">
        <f t="shared" si="11"/>
        <v>6.4252202025337937</v>
      </c>
      <c r="T91" s="130">
        <f t="shared" si="12"/>
        <v>48.008293443072191</v>
      </c>
      <c r="U91" s="130">
        <f t="shared" si="13"/>
        <v>45.397344648762903</v>
      </c>
      <c r="V91" s="142">
        <f t="shared" si="14"/>
        <v>0.16914170563026179</v>
      </c>
      <c r="W91" s="130">
        <f t="shared" si="17"/>
        <v>99.999999999999147</v>
      </c>
    </row>
    <row r="92" spans="13:27">
      <c r="M92" s="60" t="s">
        <v>69</v>
      </c>
      <c r="N92" s="72">
        <f t="shared" si="9"/>
        <v>1</v>
      </c>
      <c r="O92" s="127">
        <f t="shared" si="10"/>
        <v>0.37761600998242545</v>
      </c>
      <c r="P92" s="127">
        <f t="shared" si="15"/>
        <v>4.6700533495052016E-2</v>
      </c>
      <c r="Q92" s="127">
        <f t="shared" si="16"/>
        <v>1.8941444182006583E-4</v>
      </c>
      <c r="R92" s="127">
        <f>($B$3*$B$7)*(IF(ABS('Chemical Properties'!I44)&gt;0,'Chemical Properties'!I44,'Chemical Properties'!I7))*$B$10*M6/(IF(ABS('Chemical Properties'!J44)&gt;0,'Chemical Properties'!J44,'Chemical Properties'!J7)+M6)</f>
        <v>0.57549404208070265</v>
      </c>
      <c r="S92" s="130">
        <f t="shared" si="11"/>
        <v>37.761600998242542</v>
      </c>
      <c r="T92" s="130">
        <f t="shared" si="12"/>
        <v>4.6700533495052019</v>
      </c>
      <c r="U92" s="130">
        <f t="shared" si="13"/>
        <v>57.549404208070264</v>
      </c>
      <c r="V92" s="142">
        <f t="shared" si="14"/>
        <v>1.8941444182006582E-2</v>
      </c>
      <c r="W92" s="130">
        <f t="shared" si="17"/>
        <v>100.00000000000003</v>
      </c>
    </row>
    <row r="93" spans="13:27">
      <c r="M93" s="62" t="s">
        <v>9</v>
      </c>
      <c r="N93" s="72">
        <f t="shared" si="9"/>
        <v>1</v>
      </c>
      <c r="O93" s="127">
        <f t="shared" si="10"/>
        <v>9.6843365309598292E-2</v>
      </c>
      <c r="P93" s="127">
        <f t="shared" si="15"/>
        <v>7.7778836697685885E-2</v>
      </c>
      <c r="Q93" s="127">
        <f t="shared" si="16"/>
        <v>5.8402651176707183E-2</v>
      </c>
      <c r="R93" s="127">
        <f>($B$3*$B$7)*(IF(ABS('Chemical Properties'!I45)&gt;0,'Chemical Properties'!I45,'Chemical Properties'!I8))*$B$10*M7/(IF(ABS('Chemical Properties'!J45)&gt;0,'Chemical Properties'!J45,'Chemical Properties'!J8)+M7)</f>
        <v>0.76697514681603252</v>
      </c>
      <c r="S93" s="130">
        <f t="shared" si="11"/>
        <v>9.684336530959829</v>
      </c>
      <c r="T93" s="130">
        <f t="shared" si="12"/>
        <v>7.7778836697685882</v>
      </c>
      <c r="U93" s="130">
        <f t="shared" si="13"/>
        <v>76.697514681603252</v>
      </c>
      <c r="V93" s="142">
        <f t="shared" si="14"/>
        <v>5.8402651176707181</v>
      </c>
      <c r="W93" s="130">
        <f t="shared" si="17"/>
        <v>100.0000000000024</v>
      </c>
    </row>
    <row r="94" spans="13:27">
      <c r="M94" s="63" t="s">
        <v>7</v>
      </c>
      <c r="N94" s="72">
        <f t="shared" si="9"/>
        <v>1</v>
      </c>
      <c r="O94" s="127">
        <f t="shared" si="10"/>
        <v>3.27206804215305E-2</v>
      </c>
      <c r="P94" s="127">
        <f t="shared" si="15"/>
        <v>0.18869327171652264</v>
      </c>
      <c r="Q94" s="127">
        <f t="shared" si="16"/>
        <v>3.2748017641549089E-2</v>
      </c>
      <c r="R94" s="127">
        <f>($B$3*$B$7)*(IF(ABS('Chemical Properties'!I46)&gt;0,'Chemical Properties'!I46,'Chemical Properties'!I9))*$B$10*M8/(IF(ABS('Chemical Properties'!J46)&gt;0,'Chemical Properties'!J46,'Chemical Properties'!J9)+M8)</f>
        <v>0.74583803022038742</v>
      </c>
      <c r="S94" s="130">
        <f t="shared" si="11"/>
        <v>3.2720680421530499</v>
      </c>
      <c r="T94" s="130">
        <f t="shared" si="12"/>
        <v>18.869327171652266</v>
      </c>
      <c r="U94" s="130">
        <f t="shared" si="13"/>
        <v>74.583803022038737</v>
      </c>
      <c r="V94" s="142">
        <f t="shared" si="14"/>
        <v>3.2748017641549088</v>
      </c>
      <c r="W94" s="130">
        <f t="shared" si="17"/>
        <v>99.999999999998963</v>
      </c>
    </row>
    <row r="95" spans="13:27">
      <c r="M95" s="62" t="s">
        <v>8</v>
      </c>
      <c r="N95" s="72">
        <f t="shared" si="9"/>
        <v>1</v>
      </c>
      <c r="O95" s="127">
        <f t="shared" si="10"/>
        <v>4.3721904686171459E-2</v>
      </c>
      <c r="P95" s="127">
        <f t="shared" si="15"/>
        <v>0.2221636118104581</v>
      </c>
      <c r="Q95" s="127">
        <f t="shared" si="16"/>
        <v>1.5887726778311375E-2</v>
      </c>
      <c r="R95" s="127">
        <f>($B$3*$B$7)*(IF(ABS('Chemical Properties'!I47)&gt;0,'Chemical Properties'!I47,'Chemical Properties'!I10))*$B$10*M9/(IF(ABS('Chemical Properties'!J47)&gt;0,'Chemical Properties'!J47,'Chemical Properties'!J10)+M9)</f>
        <v>0.71822675672506686</v>
      </c>
      <c r="S95" s="130">
        <f t="shared" si="11"/>
        <v>4.3721904686171458</v>
      </c>
      <c r="T95" s="130">
        <f t="shared" si="12"/>
        <v>22.216361181045809</v>
      </c>
      <c r="U95" s="130">
        <f t="shared" si="13"/>
        <v>71.822675672506691</v>
      </c>
      <c r="V95" s="142">
        <f t="shared" si="14"/>
        <v>1.5887726778311375</v>
      </c>
      <c r="W95" s="130">
        <f t="shared" si="17"/>
        <v>100.00000000000078</v>
      </c>
    </row>
    <row r="96" spans="13:27">
      <c r="M96" s="62" t="s">
        <v>11</v>
      </c>
      <c r="N96" s="72">
        <f t="shared" si="9"/>
        <v>1</v>
      </c>
      <c r="O96" s="127">
        <f t="shared" si="10"/>
        <v>0.18860379371646607</v>
      </c>
      <c r="P96" s="127">
        <f t="shared" si="15"/>
        <v>0.60355276721026119</v>
      </c>
      <c r="Q96" s="127">
        <f t="shared" si="16"/>
        <v>4.324273096371227E-2</v>
      </c>
      <c r="R96" s="127">
        <f>($B$3*$B$7)*(IF(ABS('Chemical Properties'!I48)&gt;0,'Chemical Properties'!I48,'Chemical Properties'!I11))*$B$10*M10/(IF(ABS('Chemical Properties'!J48)&gt;0,'Chemical Properties'!J48,'Chemical Properties'!J11)+M10)</f>
        <v>0.1646007081094838</v>
      </c>
      <c r="S96" s="130">
        <f t="shared" si="11"/>
        <v>18.860379371646609</v>
      </c>
      <c r="T96" s="130">
        <f t="shared" si="12"/>
        <v>60.355276721026115</v>
      </c>
      <c r="U96" s="130">
        <f t="shared" si="13"/>
        <v>16.46007081094838</v>
      </c>
      <c r="V96" s="142">
        <f t="shared" si="14"/>
        <v>4.3242730963712273</v>
      </c>
      <c r="W96" s="130">
        <f t="shared" si="17"/>
        <v>99.999999999992326</v>
      </c>
    </row>
    <row r="97" spans="13:23">
      <c r="M97" s="63" t="s">
        <v>70</v>
      </c>
      <c r="N97" s="72">
        <f t="shared" si="9"/>
        <v>1</v>
      </c>
      <c r="O97" s="127">
        <f t="shared" si="10"/>
        <v>6.7166664680079924E-2</v>
      </c>
      <c r="P97" s="127">
        <f t="shared" si="15"/>
        <v>0.56224867176529603</v>
      </c>
      <c r="Q97" s="127">
        <f t="shared" si="16"/>
        <v>1.7278915166659878E-3</v>
      </c>
      <c r="R97" s="127">
        <f>($B$3*$B$7)*(IF(ABS('Chemical Properties'!I49)&gt;0,'Chemical Properties'!I49,'Chemical Properties'!I12))*$B$10*M11/(IF(ABS('Chemical Properties'!J49)&gt;0,'Chemical Properties'!J49,'Chemical Properties'!J12)+M11)</f>
        <v>0.36885677203794626</v>
      </c>
      <c r="S97" s="130">
        <f t="shared" si="11"/>
        <v>6.7166664680079924</v>
      </c>
      <c r="T97" s="130">
        <f t="shared" si="12"/>
        <v>56.2248671765296</v>
      </c>
      <c r="U97" s="130">
        <f t="shared" si="13"/>
        <v>36.885677203794629</v>
      </c>
      <c r="V97" s="142">
        <f t="shared" si="14"/>
        <v>0.17278915166659878</v>
      </c>
      <c r="W97" s="130">
        <f t="shared" si="17"/>
        <v>99.99999999999882</v>
      </c>
    </row>
    <row r="98" spans="13:23">
      <c r="M98" s="63" t="s">
        <v>16</v>
      </c>
      <c r="N98" s="72">
        <f t="shared" si="9"/>
        <v>1</v>
      </c>
      <c r="O98" s="127">
        <f t="shared" si="10"/>
        <v>0.67571323509428605</v>
      </c>
      <c r="P98" s="127">
        <f t="shared" si="15"/>
        <v>4.0560678360765911E-6</v>
      </c>
      <c r="Q98" s="127">
        <f t="shared" si="16"/>
        <v>1.6222773884508234E-6</v>
      </c>
      <c r="R98" s="127">
        <f>($B$3*$B$7)*(IF(ABS('Chemical Properties'!I50)&gt;0,'Chemical Properties'!I50,'Chemical Properties'!I13))*$B$10*M12/(IF(ABS('Chemical Properties'!J50)&gt;0,'Chemical Properties'!J50,'Chemical Properties'!J13)+M12)</f>
        <v>0.32428108656048993</v>
      </c>
      <c r="S98" s="130">
        <f t="shared" si="11"/>
        <v>67.571323509428609</v>
      </c>
      <c r="T98" s="130">
        <f t="shared" si="12"/>
        <v>4.056067836076591E-4</v>
      </c>
      <c r="U98" s="130">
        <f t="shared" si="13"/>
        <v>32.428108656048991</v>
      </c>
      <c r="V98" s="142">
        <f t="shared" si="14"/>
        <v>1.6222773884508234E-4</v>
      </c>
      <c r="W98" s="130">
        <f t="shared" si="17"/>
        <v>100.00000000000004</v>
      </c>
    </row>
    <row r="99" spans="13:23">
      <c r="M99" s="60" t="s">
        <v>71</v>
      </c>
      <c r="N99" s="72">
        <f t="shared" si="9"/>
        <v>1</v>
      </c>
      <c r="O99" s="127">
        <f t="shared" si="10"/>
        <v>0.22764524059414284</v>
      </c>
      <c r="P99" s="127">
        <f t="shared" si="15"/>
        <v>6.4349706920160565E-2</v>
      </c>
      <c r="Q99" s="127">
        <f t="shared" si="16"/>
        <v>9.2815661529717223E-4</v>
      </c>
      <c r="R99" s="127">
        <f>($B$3*$B$7)*(IF(ABS('Chemical Properties'!I51)&gt;0,'Chemical Properties'!I51,'Chemical Properties'!I14))*$B$10*M13/(IF(ABS('Chemical Properties'!J51)&gt;0,'Chemical Properties'!J51,'Chemical Properties'!J14)+M13)</f>
        <v>0.70707689587039946</v>
      </c>
      <c r="S99" s="130">
        <f t="shared" si="11"/>
        <v>22.764524059414285</v>
      </c>
      <c r="T99" s="130">
        <f t="shared" si="12"/>
        <v>6.4349706920160568</v>
      </c>
      <c r="U99" s="130">
        <f t="shared" si="13"/>
        <v>70.707689587039951</v>
      </c>
      <c r="V99" s="142">
        <f t="shared" si="14"/>
        <v>9.2815661529717222E-2</v>
      </c>
      <c r="W99" s="130">
        <f t="shared" si="17"/>
        <v>100</v>
      </c>
    </row>
    <row r="100" spans="13:23">
      <c r="M100" s="62" t="s">
        <v>12</v>
      </c>
      <c r="N100" s="72">
        <f t="shared" si="9"/>
        <v>1</v>
      </c>
      <c r="O100" s="127">
        <f t="shared" si="10"/>
        <v>3.9578102419263038E-2</v>
      </c>
      <c r="P100" s="127">
        <f t="shared" si="15"/>
        <v>0.20146194933766662</v>
      </c>
      <c r="Q100" s="127">
        <f t="shared" si="16"/>
        <v>5.8589212074156849E-3</v>
      </c>
      <c r="R100" s="127">
        <f>($B$3*$B$7)*(IF(ABS('Chemical Properties'!I52)&gt;0,'Chemical Properties'!I52,'Chemical Properties'!I15))*$B$10*M14/(IF(ABS('Chemical Properties'!J52)&gt;0,'Chemical Properties'!J52,'Chemical Properties'!J15)+M14)</f>
        <v>0.7531010270356191</v>
      </c>
      <c r="S100" s="130">
        <f t="shared" si="11"/>
        <v>3.9578102419263037</v>
      </c>
      <c r="T100" s="130">
        <f t="shared" si="12"/>
        <v>20.146194933766662</v>
      </c>
      <c r="U100" s="130">
        <f t="shared" si="13"/>
        <v>75.31010270356191</v>
      </c>
      <c r="V100" s="142">
        <f t="shared" si="14"/>
        <v>0.58589212074156849</v>
      </c>
      <c r="W100" s="130">
        <f t="shared" si="17"/>
        <v>99.999999999996447</v>
      </c>
    </row>
    <row r="101" spans="13:23">
      <c r="M101" s="62" t="s">
        <v>10</v>
      </c>
      <c r="N101" s="72">
        <f t="shared" si="9"/>
        <v>1</v>
      </c>
      <c r="O101" s="127">
        <f t="shared" si="10"/>
        <v>9.6080831168896177E-3</v>
      </c>
      <c r="P101" s="127">
        <f t="shared" si="15"/>
        <v>9.2122872542941724E-6</v>
      </c>
      <c r="Q101" s="127">
        <f t="shared" si="16"/>
        <v>7.6383480017816108E-5</v>
      </c>
      <c r="R101" s="127">
        <f>($B$3*$B$7)*(IF(ABS('Chemical Properties'!I53)&gt;0,'Chemical Properties'!I53,'Chemical Properties'!I16))*$B$10*M15/(IF(ABS('Chemical Properties'!J53)&gt;0,'Chemical Properties'!J53,'Chemical Properties'!J16)+M15)</f>
        <v>0.99030632111710004</v>
      </c>
      <c r="S101" s="130">
        <f t="shared" si="11"/>
        <v>0.96080831168896175</v>
      </c>
      <c r="T101" s="130">
        <f t="shared" si="12"/>
        <v>9.2122872542941723E-4</v>
      </c>
      <c r="U101" s="130">
        <f t="shared" si="13"/>
        <v>99.030632111710005</v>
      </c>
      <c r="V101" s="142">
        <f t="shared" si="14"/>
        <v>7.638348001781611E-3</v>
      </c>
      <c r="W101" s="130">
        <f t="shared" si="17"/>
        <v>100.00000000012619</v>
      </c>
    </row>
    <row r="102" spans="13:23">
      <c r="M102" s="63" t="s">
        <v>72</v>
      </c>
      <c r="N102" s="72">
        <f t="shared" si="9"/>
        <v>1</v>
      </c>
      <c r="O102" s="127">
        <f t="shared" si="10"/>
        <v>4.4587095857216597E-2</v>
      </c>
      <c r="P102" s="127">
        <f t="shared" si="15"/>
        <v>0.32067415613583528</v>
      </c>
      <c r="Q102" s="127">
        <f t="shared" si="16"/>
        <v>0.11737399193595852</v>
      </c>
      <c r="R102" s="127">
        <f>($B$3*$B$7)*(IF(ABS('Chemical Properties'!I54)&gt;0,'Chemical Properties'!I54,'Chemical Properties'!I17))*$B$10*M16/(IF(ABS('Chemical Properties'!J54)&gt;0,'Chemical Properties'!J54,'Chemical Properties'!J17)+M16)</f>
        <v>0.51736475607098842</v>
      </c>
      <c r="S102" s="130">
        <f t="shared" si="11"/>
        <v>4.4587095857216594</v>
      </c>
      <c r="T102" s="130">
        <f t="shared" si="12"/>
        <v>32.067415613583528</v>
      </c>
      <c r="U102" s="130">
        <f t="shared" si="13"/>
        <v>51.736475607098839</v>
      </c>
      <c r="V102" s="142">
        <f t="shared" si="14"/>
        <v>11.737399193595852</v>
      </c>
      <c r="W102" s="130">
        <f t="shared" si="17"/>
        <v>99.999999999999872</v>
      </c>
    </row>
    <row r="103" spans="13:23">
      <c r="M103" s="63" t="s">
        <v>73</v>
      </c>
      <c r="N103" s="72">
        <f t="shared" si="9"/>
        <v>1</v>
      </c>
      <c r="O103" s="127">
        <f t="shared" si="10"/>
        <v>7.3983357444693809E-3</v>
      </c>
      <c r="P103" s="127">
        <f t="shared" si="15"/>
        <v>2.6452531446324841E-5</v>
      </c>
      <c r="Q103" s="127">
        <f t="shared" si="16"/>
        <v>1.9475863662250902E-6</v>
      </c>
      <c r="R103" s="127">
        <f>($B$3*$B$7)*(IF(ABS('Chemical Properties'!I55)&gt;0,'Chemical Properties'!I55,'Chemical Properties'!I18))*$B$10*M17/(IF(ABS('Chemical Properties'!J55)&gt;0,'Chemical Properties'!J55,'Chemical Properties'!J18)+M17)</f>
        <v>0.99257326413709823</v>
      </c>
      <c r="S103" s="130">
        <f t="shared" si="11"/>
        <v>0.73983357444693809</v>
      </c>
      <c r="T103" s="130">
        <f t="shared" si="12"/>
        <v>2.6452531446324841E-3</v>
      </c>
      <c r="U103" s="130">
        <f t="shared" si="13"/>
        <v>99.257326413709819</v>
      </c>
      <c r="V103" s="142">
        <f t="shared" si="14"/>
        <v>1.9475863662250903E-4</v>
      </c>
      <c r="W103" s="130">
        <f t="shared" si="17"/>
        <v>99.999999999938012</v>
      </c>
    </row>
    <row r="104" spans="13:23">
      <c r="M104" s="64" t="s">
        <v>74</v>
      </c>
      <c r="N104" s="72">
        <f t="shared" si="9"/>
        <v>1</v>
      </c>
      <c r="O104" s="127">
        <f t="shared" si="10"/>
        <v>4.8743149498588427E-2</v>
      </c>
      <c r="P104" s="127">
        <f t="shared" si="15"/>
        <v>0.2373173940300782</v>
      </c>
      <c r="Q104" s="127">
        <f t="shared" si="16"/>
        <v>1.8979128962822337E-2</v>
      </c>
      <c r="R104" s="127">
        <f>($B$3*$B$7)*(IF(ABS('Chemical Properties'!I56)&gt;0,'Chemical Properties'!I56,'Chemical Properties'!I19))*$B$10*M18/(IF(ABS('Chemical Properties'!J56)&gt;0,'Chemical Properties'!J56,'Chemical Properties'!J19)+M18)</f>
        <v>0.6949603275085352</v>
      </c>
      <c r="S104" s="130">
        <f t="shared" si="11"/>
        <v>4.8743149498588423</v>
      </c>
      <c r="T104" s="130">
        <f t="shared" si="12"/>
        <v>23.731739403007822</v>
      </c>
      <c r="U104" s="130">
        <f t="shared" si="13"/>
        <v>69.496032750853516</v>
      </c>
      <c r="V104" s="142">
        <f t="shared" si="14"/>
        <v>1.8979128962822338</v>
      </c>
      <c r="W104" s="130">
        <f t="shared" si="17"/>
        <v>100.00000000000242</v>
      </c>
    </row>
    <row r="105" spans="13:23">
      <c r="M105" s="63" t="s">
        <v>75</v>
      </c>
      <c r="N105" s="72">
        <f t="shared" si="9"/>
        <v>1</v>
      </c>
      <c r="O105" s="127">
        <f t="shared" si="10"/>
        <v>0.12779240398377581</v>
      </c>
      <c r="P105" s="127">
        <f t="shared" si="15"/>
        <v>0.15054628465352526</v>
      </c>
      <c r="Q105" s="127">
        <f t="shared" si="16"/>
        <v>2.6812525928120424E-3</v>
      </c>
      <c r="R105" s="127">
        <f>($B$3*$B$7)*(IF(ABS('Chemical Properties'!I57)&gt;0,'Chemical Properties'!I57,'Chemical Properties'!I20))*$B$10*M19/(IF(ABS('Chemical Properties'!J57)&gt;0,'Chemical Properties'!J57,'Chemical Properties'!J20)+M19)</f>
        <v>0.71898005876985227</v>
      </c>
      <c r="S105" s="130">
        <f t="shared" si="11"/>
        <v>12.779240398377581</v>
      </c>
      <c r="T105" s="130">
        <f t="shared" si="12"/>
        <v>15.054628465352526</v>
      </c>
      <c r="U105" s="130">
        <f t="shared" si="13"/>
        <v>71.898005876985223</v>
      </c>
      <c r="V105" s="142">
        <f t="shared" si="14"/>
        <v>0.26812525928120423</v>
      </c>
      <c r="W105" s="130">
        <f t="shared" si="17"/>
        <v>99.999999999996533</v>
      </c>
    </row>
    <row r="106" spans="13:23">
      <c r="M106" s="64" t="s">
        <v>78</v>
      </c>
      <c r="N106" s="72">
        <f t="shared" si="9"/>
        <v>1</v>
      </c>
      <c r="O106" s="127">
        <f t="shared" si="10"/>
        <v>7.1541637886667633E-2</v>
      </c>
      <c r="P106" s="127">
        <f t="shared" si="15"/>
        <v>2.9477699803527734E-2</v>
      </c>
      <c r="Q106" s="127">
        <f t="shared" si="16"/>
        <v>0.10837311790320699</v>
      </c>
      <c r="R106" s="127">
        <f>($B$3*$B$7)*(IF(ABS('Chemical Properties'!I58)&gt;0,'Chemical Properties'!I58,'Chemical Properties'!I21))*$B$10*M20/(IF(ABS('Chemical Properties'!J58)&gt;0,'Chemical Properties'!J58,'Chemical Properties'!J21)+M20)</f>
        <v>0.79060754440659897</v>
      </c>
      <c r="S106" s="130">
        <f t="shared" si="11"/>
        <v>7.1541637886667635</v>
      </c>
      <c r="T106" s="130">
        <f t="shared" si="12"/>
        <v>2.9477699803527733</v>
      </c>
      <c r="U106" s="130">
        <f t="shared" si="13"/>
        <v>79.060754440659892</v>
      </c>
      <c r="V106" s="142">
        <f t="shared" si="14"/>
        <v>10.837311790320699</v>
      </c>
      <c r="W106" s="130">
        <f t="shared" si="17"/>
        <v>100.00000000000013</v>
      </c>
    </row>
    <row r="107" spans="13:23">
      <c r="M107" s="65" t="s">
        <v>14</v>
      </c>
      <c r="N107" s="72">
        <f t="shared" si="9"/>
        <v>1</v>
      </c>
      <c r="O107" s="127">
        <f t="shared" si="10"/>
        <v>5.8876450536800545E-2</v>
      </c>
      <c r="P107" s="127">
        <f t="shared" si="15"/>
        <v>0.52455696271382635</v>
      </c>
      <c r="Q107" s="127">
        <f t="shared" si="16"/>
        <v>9.799508849983524E-5</v>
      </c>
      <c r="R107" s="127">
        <f>($B$3*$B$7)*(IF(ABS('Chemical Properties'!I59)&gt;0,'Chemical Properties'!I59,'Chemical Properties'!I22))*$B$10*M21/(IF(ABS('Chemical Properties'!J59)&gt;0,'Chemical Properties'!J59,'Chemical Properties'!J22)+M21)</f>
        <v>0.41646859166086414</v>
      </c>
      <c r="S107" s="130">
        <f t="shared" si="11"/>
        <v>5.8876450536800542</v>
      </c>
      <c r="T107" s="130">
        <f t="shared" si="12"/>
        <v>52.455696271382635</v>
      </c>
      <c r="U107" s="130">
        <f t="shared" si="13"/>
        <v>41.646859166086415</v>
      </c>
      <c r="V107" s="142">
        <f t="shared" si="14"/>
        <v>9.7995088499835247E-3</v>
      </c>
      <c r="W107" s="130">
        <f t="shared" si="17"/>
        <v>99.999999999999091</v>
      </c>
    </row>
    <row r="108" spans="13:23">
      <c r="M108" s="65" t="s">
        <v>79</v>
      </c>
      <c r="N108" s="72">
        <f t="shared" si="9"/>
        <v>1</v>
      </c>
      <c r="O108" s="127">
        <f t="shared" si="10"/>
        <v>9.1941413072891193E-2</v>
      </c>
      <c r="P108" s="127">
        <f t="shared" si="15"/>
        <v>0.22453533860442723</v>
      </c>
      <c r="Q108" s="127">
        <f t="shared" si="16"/>
        <v>7.3092676268775064E-4</v>
      </c>
      <c r="R108" s="127">
        <f>($B$3*$B$7)*(IF(ABS('Chemical Properties'!I60)&gt;0,'Chemical Properties'!I60,'Chemical Properties'!I23))*$B$10*M22/(IF(ABS('Chemical Properties'!J60)&gt;0,'Chemical Properties'!J60,'Chemical Properties'!J23)+M22)</f>
        <v>0.68279232155999292</v>
      </c>
      <c r="S108" s="130">
        <f t="shared" si="11"/>
        <v>9.1941413072891187</v>
      </c>
      <c r="T108" s="130">
        <f t="shared" si="12"/>
        <v>22.453533860442722</v>
      </c>
      <c r="U108" s="130">
        <f t="shared" si="13"/>
        <v>68.279232155999296</v>
      </c>
      <c r="V108" s="142">
        <f t="shared" si="14"/>
        <v>7.3092676268775067E-2</v>
      </c>
      <c r="W108" s="130">
        <f t="shared" si="17"/>
        <v>99.999999999999915</v>
      </c>
    </row>
    <row r="109" spans="13:23">
      <c r="M109" s="65" t="s">
        <v>15</v>
      </c>
      <c r="N109" s="72">
        <f t="shared" si="9"/>
        <v>1</v>
      </c>
      <c r="O109" s="127">
        <f t="shared" si="10"/>
        <v>0.53586829442634976</v>
      </c>
      <c r="P109" s="127">
        <f t="shared" si="15"/>
        <v>4.6374509865961085E-8</v>
      </c>
      <c r="Q109" s="127">
        <f t="shared" si="16"/>
        <v>5.2410795495907919E-6</v>
      </c>
      <c r="R109" s="127">
        <f>($B$3*$B$7)*(IF(ABS('Chemical Properties'!I61)&gt;0,'Chemical Properties'!I61,'Chemical Properties'!I24))*$B$10*M23/(IF(ABS('Chemical Properties'!J61)&gt;0,'Chemical Properties'!J61,'Chemical Properties'!J24)+M23)</f>
        <v>0.46412641811958616</v>
      </c>
      <c r="S109" s="130">
        <f t="shared" si="11"/>
        <v>53.586829442634979</v>
      </c>
      <c r="T109" s="130">
        <f t="shared" si="12"/>
        <v>4.6374509865961087E-6</v>
      </c>
      <c r="U109" s="130">
        <f t="shared" si="13"/>
        <v>46.412641811958615</v>
      </c>
      <c r="V109" s="142">
        <f t="shared" si="14"/>
        <v>5.2410795495907915E-4</v>
      </c>
      <c r="W109" s="130">
        <f t="shared" si="17"/>
        <v>99.999999999999531</v>
      </c>
    </row>
    <row r="110" spans="13:23">
      <c r="M110" s="65" t="s">
        <v>80</v>
      </c>
      <c r="N110" s="72">
        <f t="shared" si="9"/>
        <v>1</v>
      </c>
      <c r="O110" s="127">
        <f t="shared" si="10"/>
        <v>5.0668561026881841E-3</v>
      </c>
      <c r="P110" s="127">
        <f t="shared" si="15"/>
        <v>3.4111053242047558E-2</v>
      </c>
      <c r="Q110" s="127">
        <f t="shared" si="16"/>
        <v>0.90178137247279111</v>
      </c>
      <c r="R110" s="127">
        <f>($B$3*$B$7)*(IF(ABS('Chemical Properties'!I62)&gt;0,'Chemical Properties'!I62,'Chemical Properties'!I25))*$B$10*M24/(IF(ABS('Chemical Properties'!J62)&gt;0,'Chemical Properties'!J62,'Chemical Properties'!J25)+M24)</f>
        <v>5.9040718182491299E-2</v>
      </c>
      <c r="S110" s="130">
        <f t="shared" si="11"/>
        <v>0.50668561026881842</v>
      </c>
      <c r="T110" s="130">
        <f t="shared" si="12"/>
        <v>3.411105324204756</v>
      </c>
      <c r="U110" s="130">
        <f t="shared" si="13"/>
        <v>5.9040718182491299</v>
      </c>
      <c r="V110" s="142">
        <f t="shared" si="14"/>
        <v>90.178137247279111</v>
      </c>
      <c r="W110" s="130">
        <f t="shared" si="17"/>
        <v>100.00000000000182</v>
      </c>
    </row>
    <row r="111" spans="13:23">
      <c r="M111" s="65" t="s">
        <v>59</v>
      </c>
      <c r="N111" s="72">
        <f>$B$6*B41</f>
        <v>1</v>
      </c>
      <c r="O111" s="127" t="e">
        <f t="shared" si="10"/>
        <v>#DIV/0!</v>
      </c>
      <c r="P111" s="127" t="e">
        <f>K25</f>
        <v>#DIV/0!</v>
      </c>
      <c r="Q111" s="127" t="e">
        <f t="shared" si="16"/>
        <v>#DIV/0!</v>
      </c>
      <c r="R111" s="127" t="e">
        <f>($B$3*$B$7)*(IF(ABS('Chemical Properties'!I63)&gt;0,'Chemical Properties'!I63,'Chemical Properties'!I26))*$B$10*M25/(IF(ABS('Chemical Properties'!J63)&gt;0,'Chemical Properties'!J63,'Chemical Properties'!J26)+M25)</f>
        <v>#DIV/0!</v>
      </c>
      <c r="S111" s="130" t="e">
        <f>O111/N111*100</f>
        <v>#DIV/0!</v>
      </c>
      <c r="T111" s="130" t="e">
        <f>P111/N111*100</f>
        <v>#DIV/0!</v>
      </c>
      <c r="U111" s="130" t="e">
        <f>R111/N111*100</f>
        <v>#DIV/0!</v>
      </c>
      <c r="V111" s="142" t="e">
        <f>Q111/N111*100</f>
        <v>#DIV/0!</v>
      </c>
      <c r="W111" s="130" t="e">
        <f>(O111+P111+Q111+R111)/N111*100</f>
        <v>#DIV/0!</v>
      </c>
    </row>
    <row r="112" spans="13:23">
      <c r="M112" s="81" t="s">
        <v>60</v>
      </c>
      <c r="N112" s="72">
        <f>$B$6*B42</f>
        <v>1</v>
      </c>
      <c r="O112" s="127" t="e">
        <f t="shared" si="10"/>
        <v>#DIV/0!</v>
      </c>
      <c r="P112" s="127" t="e">
        <f>K26</f>
        <v>#DIV/0!</v>
      </c>
      <c r="Q112" s="127" t="e">
        <f t="shared" si="16"/>
        <v>#DIV/0!</v>
      </c>
      <c r="R112" s="127" t="e">
        <f>($B$3*$B$7)*(IF(ABS('Chemical Properties'!I64)&gt;0,'Chemical Properties'!I64,'Chemical Properties'!I27))*$B$10*M26/(IF(ABS('Chemical Properties'!J64)&gt;0,'Chemical Properties'!J64,'Chemical Properties'!J27)+M26)</f>
        <v>#DIV/0!</v>
      </c>
      <c r="S112" s="130" t="e">
        <f>O112/N112*100</f>
        <v>#DIV/0!</v>
      </c>
      <c r="T112" s="130" t="e">
        <f>P112/N112*100</f>
        <v>#DIV/0!</v>
      </c>
      <c r="U112" s="130" t="e">
        <f>R112/N112*100</f>
        <v>#DIV/0!</v>
      </c>
      <c r="V112" s="142" t="e">
        <f>Q112/N112*100</f>
        <v>#DIV/0!</v>
      </c>
      <c r="W112" s="130" t="e">
        <f>(O112+P112+Q112+R112)/N112*100</f>
        <v>#DIV/0!</v>
      </c>
    </row>
    <row r="113" spans="13:23">
      <c r="M113" s="65" t="s">
        <v>61</v>
      </c>
      <c r="N113" s="72">
        <f>$B$6*B43</f>
        <v>1</v>
      </c>
      <c r="O113" s="127" t="e">
        <f t="shared" si="10"/>
        <v>#DIV/0!</v>
      </c>
      <c r="P113" s="127" t="e">
        <f>K27</f>
        <v>#DIV/0!</v>
      </c>
      <c r="Q113" s="127" t="e">
        <f t="shared" si="16"/>
        <v>#DIV/0!</v>
      </c>
      <c r="R113" s="127" t="e">
        <f>($B$3*$B$7)*(IF(ABS('Chemical Properties'!I65)&gt;0,'Chemical Properties'!I65,'Chemical Properties'!I28))*$B$10*M27/(IF(ABS('Chemical Properties'!J65)&gt;0,'Chemical Properties'!J65,'Chemical Properties'!J28)+M27)</f>
        <v>#DIV/0!</v>
      </c>
      <c r="S113" s="130" t="e">
        <f>O113/N113*100</f>
        <v>#DIV/0!</v>
      </c>
      <c r="T113" s="130" t="e">
        <f>P113/N113*100</f>
        <v>#DIV/0!</v>
      </c>
      <c r="U113" s="130" t="e">
        <f>R113/N113*100</f>
        <v>#DIV/0!</v>
      </c>
      <c r="V113" s="142" t="e">
        <f>Q113/N113*100</f>
        <v>#DIV/0!</v>
      </c>
      <c r="W113" s="130" t="e">
        <f>(O113+P113+Q113+R113)/N113*100</f>
        <v>#DIV/0!</v>
      </c>
    </row>
    <row r="114" spans="13:23">
      <c r="M114" s="65" t="s">
        <v>256</v>
      </c>
      <c r="N114" s="72">
        <f>$B$6*B44</f>
        <v>1</v>
      </c>
      <c r="O114" s="127">
        <f t="shared" si="10"/>
        <v>4.7171739437922619E-2</v>
      </c>
      <c r="P114" s="127">
        <f>K28</f>
        <v>0.39598351116153169</v>
      </c>
      <c r="Q114" s="127">
        <f t="shared" si="16"/>
        <v>9.6392796604394017E-3</v>
      </c>
      <c r="R114" s="127">
        <f>($B$3*$B$7)*(IF(ABS('Chemical Properties'!I66)&gt;0,'Chemical Properties'!I66,'Chemical Properties'!I29))*$B$10*M28/(IF(ABS('Chemical Properties'!J66)&gt;0,'Chemical Properties'!J66,'Chemical Properties'!J29)+M28)</f>
        <v>0.54720546974011752</v>
      </c>
      <c r="S114" s="130">
        <f>O114/N114*100</f>
        <v>4.717173943792262</v>
      </c>
      <c r="T114" s="130">
        <f>P114/N114*100</f>
        <v>39.598351116153168</v>
      </c>
      <c r="U114" s="130">
        <f>R114/N114*100</f>
        <v>54.720546974011754</v>
      </c>
      <c r="V114" s="142">
        <f>Q114/N114*100</f>
        <v>0.96392796604394015</v>
      </c>
      <c r="W114" s="130">
        <f>(O114+P114+Q114+R114)/N114*100</f>
        <v>100.00000000000114</v>
      </c>
    </row>
    <row r="116" spans="13:23">
      <c r="M116" s="91"/>
      <c r="N116" s="222"/>
      <c r="O116" s="254"/>
      <c r="P116" s="254"/>
      <c r="Q116" s="254"/>
      <c r="R116" s="254"/>
      <c r="S116" s="255"/>
      <c r="T116" s="255"/>
      <c r="U116" s="255"/>
      <c r="V116" s="259"/>
      <c r="W116" s="255"/>
    </row>
  </sheetData>
  <mergeCells count="5">
    <mergeCell ref="A18:C18"/>
    <mergeCell ref="I46:K46"/>
    <mergeCell ref="A1:E1"/>
    <mergeCell ref="E49:G49"/>
    <mergeCell ref="M87:T87"/>
  </mergeCells>
  <phoneticPr fontId="5" type="noConversion"/>
  <pageMargins left="0.75" right="0.75" top="1" bottom="1" header="0.5" footer="0.5"/>
  <pageSetup scale="1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Introduction</vt:lpstr>
      <vt:lpstr>POTW Discharge</vt:lpstr>
      <vt:lpstr>Wastewater Collection System</vt:lpstr>
      <vt:lpstr>Weir</vt:lpstr>
      <vt:lpstr>Oil-Water Separators</vt:lpstr>
      <vt:lpstr>DAF</vt:lpstr>
      <vt:lpstr>EQ Tanks</vt:lpstr>
      <vt:lpstr>Bio. Diff. Aer. Act. Sldg.</vt:lpstr>
      <vt:lpstr>Bio. Mech. Aer. Act. Sldg.</vt:lpstr>
      <vt:lpstr>Quiescent Unit</vt:lpstr>
      <vt:lpstr>Chemical Properties</vt:lpstr>
      <vt:lpstr>minWindSpd</vt:lpstr>
      <vt:lpstr>DAF!Print_Area</vt:lpstr>
    </vt:vector>
  </TitlesOfParts>
  <Company>RTI International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Jeff Coburn</cp:lastModifiedBy>
  <cp:lastPrinted>2010-09-30T16:28:47Z</cp:lastPrinted>
  <dcterms:created xsi:type="dcterms:W3CDTF">2009-09-23T12:53:19Z</dcterms:created>
  <dcterms:modified xsi:type="dcterms:W3CDTF">2011-04-04T14:56:57Z</dcterms:modified>
</cp:coreProperties>
</file>