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'Precision'!$B$8:$O$78</definedName>
    <definedName name="_xlnm._FilterDatabase" localSheetId="5" hidden="1">'Regression'!$B$8:$K$78</definedName>
    <definedName name="_xlnm.Print_Area" localSheetId="0">'Instructions'!$A$1:$M$34</definedName>
    <definedName name="_xlnm.Print_Area" localSheetId="4">'Precision'!$A$1:$T$100</definedName>
    <definedName name="_xlnm.Print_Area" localSheetId="3">'Raw candidate data'!$A$1:$S$86</definedName>
    <definedName name="_xlnm.Print_Area" localSheetId="2">'Raw FRM data'!$A$1:$V$86</definedName>
    <definedName name="_xlnm.Print_Area" localSheetId="5">'Regression'!$A$1:$R$86</definedName>
    <definedName name="_xlnm.Print_Area" localSheetId="6">'Summary'!$A$1:$Q$53</definedName>
    <definedName name="_xlnm.Print_Area" localSheetId="1">'Title'!$A$1:$J$31</definedName>
  </definedNames>
  <calcPr fullCalcOnLoad="1"/>
</workbook>
</file>

<file path=xl/comments2.xml><?xml version="1.0" encoding="utf-8"?>
<comments xmlns="http://schemas.openxmlformats.org/spreadsheetml/2006/main">
  <authors>
    <author>mcelroyf</author>
  </authors>
  <commentList>
    <comment ref="G18" authorId="0">
      <text>
        <r>
          <rPr>
            <sz val="8"/>
            <rFont val="Tahoma"/>
            <family val="0"/>
          </rPr>
          <t xml:space="preserve">Please enter the FEM classification II or III.
</t>
        </r>
      </text>
    </comment>
    <comment ref="G23" authorId="0">
      <text>
        <r>
          <rPr>
            <sz val="8"/>
            <rFont val="Tahoma"/>
            <family val="0"/>
          </rPr>
          <t xml:space="preserve">Please enter the site location area:           A, B, C, or D.
</t>
        </r>
      </text>
    </comment>
    <comment ref="G17" authorId="0">
      <text>
        <r>
          <rPr>
            <sz val="8"/>
            <rFont val="Tahoma"/>
            <family val="0"/>
          </rPr>
          <t>Please enter PM</t>
        </r>
        <r>
          <rPr>
            <sz val="8"/>
            <rFont val="Tahoma"/>
            <family val="2"/>
          </rPr>
          <t>2.5</t>
        </r>
        <r>
          <rPr>
            <sz val="8"/>
            <rFont val="Tahoma"/>
            <family val="0"/>
          </rPr>
          <t xml:space="preserve"> or PM</t>
        </r>
        <r>
          <rPr>
            <sz val="8"/>
            <rFont val="Tahoma"/>
            <family val="2"/>
          </rPr>
          <t>10-2.5</t>
        </r>
        <r>
          <rPr>
            <sz val="8"/>
            <rFont val="Tahoma"/>
            <family val="0"/>
          </rPr>
          <t xml:space="preserve">.
</t>
        </r>
      </text>
    </comment>
    <comment ref="G16" authorId="0">
      <text>
        <r>
          <rPr>
            <sz val="8"/>
            <rFont val="Tahoma"/>
            <family val="0"/>
          </rPr>
          <t xml:space="preserve">Enter a brief identification of the candidate method.
</t>
        </r>
      </text>
    </comment>
    <comment ref="G22" authorId="0">
      <text>
        <r>
          <rPr>
            <sz val="8"/>
            <rFont val="Tahoma"/>
            <family val="0"/>
          </rPr>
          <t xml:space="preserve">Please enter an identification for the test site.
</t>
        </r>
      </text>
    </comment>
  </commentList>
</comments>
</file>

<file path=xl/comments3.xml><?xml version="1.0" encoding="utf-8"?>
<comments xmlns="http://schemas.openxmlformats.org/spreadsheetml/2006/main">
  <authors>
    <author>mcelroyf</author>
  </authors>
  <commentList>
    <comment ref="U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CV = std. dev.(Col. T)/mean(Col. S).  A value in </t>
        </r>
        <r>
          <rPr>
            <sz val="8"/>
            <color indexed="10"/>
            <rFont val="Tahoma"/>
            <family val="2"/>
          </rPr>
          <t>red</t>
        </r>
        <r>
          <rPr>
            <sz val="8"/>
            <rFont val="Tahoma"/>
            <family val="0"/>
          </rPr>
          <t xml:space="preserve"> indicates the data set is not valid for test purposes.
</t>
        </r>
      </text>
    </comment>
    <comment ref="T9" authorId="0">
      <text>
        <r>
          <rPr>
            <sz val="8"/>
            <rFont val="Tahoma"/>
            <family val="0"/>
          </rPr>
          <t xml:space="preserve">Precision as </t>
        </r>
        <r>
          <rPr>
            <b/>
            <sz val="8"/>
            <rFont val="Tahoma"/>
            <family val="2"/>
          </rPr>
          <t>standard deviation</t>
        </r>
        <r>
          <rPr>
            <sz val="8"/>
            <rFont val="Tahoma"/>
            <family val="0"/>
          </rPr>
          <t xml:space="preserve"> of the FRM data set.  (A value in </t>
        </r>
        <r>
          <rPr>
            <sz val="8"/>
            <color indexed="10"/>
            <rFont val="Tahoma"/>
            <family val="2"/>
          </rPr>
          <t>red</t>
        </r>
        <r>
          <rPr>
            <sz val="8"/>
            <rFont val="Tahoma"/>
            <family val="0"/>
          </rPr>
          <t xml:space="preserve"> indicates the data set is not valid for test purposes.)</t>
        </r>
      </text>
    </comment>
    <comment ref="D11" authorId="0">
      <text>
        <r>
          <rPr>
            <sz val="8"/>
            <rFont val="Tahoma"/>
            <family val="0"/>
          </rPr>
          <t xml:space="preserve">Enter date applicable to the test data set.
</t>
        </r>
      </text>
    </comment>
    <comment ref="S82" authorId="0">
      <text>
        <r>
          <rPr>
            <b/>
            <i/>
            <sz val="8"/>
            <rFont val="Tahoma"/>
            <family val="2"/>
          </rPr>
          <t>Unofficial</t>
        </r>
        <r>
          <rPr>
            <sz val="8"/>
            <rFont val="Tahoma"/>
            <family val="0"/>
          </rPr>
          <t xml:space="preserve"> - includes non-valid data sets.  See the "Precision" or "Regression" sheets for official test purposes.
</t>
        </r>
      </text>
    </comment>
    <comment ref="K9" authorId="0">
      <text>
        <r>
          <rPr>
            <sz val="8"/>
            <rFont val="Tahoma"/>
            <family val="0"/>
          </rPr>
          <t>Tests for FRM outliers  [</t>
        </r>
        <r>
          <rPr>
            <sz val="8"/>
            <rFont val="Arial"/>
            <family val="0"/>
          </rPr>
          <t>§</t>
        </r>
        <r>
          <rPr>
            <sz val="8"/>
            <rFont val="Tahoma"/>
            <family val="0"/>
          </rPr>
          <t xml:space="preserve">53.35(d)(1)].
</t>
        </r>
      </text>
    </comment>
    <comment ref="N9" authorId="0">
      <text>
        <r>
          <rPr>
            <sz val="8"/>
            <rFont val="Tahoma"/>
            <family val="0"/>
          </rPr>
          <t>The number of valid FRM measurements in the set, based on the results of the outlier tests [</t>
        </r>
        <r>
          <rPr>
            <sz val="8"/>
            <rFont val="Arial"/>
            <family val="0"/>
          </rPr>
          <t>§</t>
        </r>
        <r>
          <rPr>
            <sz val="8"/>
            <rFont val="Tahoma"/>
            <family val="0"/>
          </rPr>
          <t xml:space="preserve">53.35(d)(1)(iv)] (but not considering the mean FRM concentration level).
</t>
        </r>
      </text>
    </comment>
    <comment ref="O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S9" authorId="0">
      <text>
        <r>
          <rPr>
            <sz val="8"/>
            <rFont val="Tahoma"/>
            <family val="0"/>
          </rPr>
          <t>Mean of the valid FRM measurements,</t>
        </r>
        <r>
          <rPr>
            <sz val="10"/>
            <rFont val="Tahoma"/>
            <family val="2"/>
          </rPr>
          <t xml:space="preserve"> R</t>
        </r>
        <r>
          <rPr>
            <vertAlign val="subscript"/>
            <sz val="10"/>
            <rFont val="Tahoma"/>
            <family val="2"/>
          </rPr>
          <t>j</t>
        </r>
        <r>
          <rPr>
            <sz val="8"/>
            <rFont val="Tahoma"/>
            <family val="0"/>
          </rPr>
          <t xml:space="preserve"> [</t>
        </r>
        <r>
          <rPr>
            <sz val="8"/>
            <rFont val="Arial"/>
            <family val="0"/>
          </rPr>
          <t>§</t>
        </r>
        <r>
          <rPr>
            <sz val="8"/>
            <rFont val="Tahoma"/>
            <family val="0"/>
          </rPr>
          <t xml:space="preserve">53.35(d)(2), Equation 11].  A value in </t>
        </r>
        <r>
          <rPr>
            <sz val="8"/>
            <color indexed="10"/>
            <rFont val="Tahoma"/>
            <family val="2"/>
          </rPr>
          <t>red</t>
        </r>
        <r>
          <rPr>
            <sz val="8"/>
            <rFont val="Tahoma"/>
            <family val="0"/>
          </rPr>
          <t xml:space="preserve"> indicates the data set is not valid for test purposes.
</t>
        </r>
      </text>
    </comment>
    <comment ref="R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Q9" authorId="0">
      <text>
        <r>
          <rPr>
            <sz val="8"/>
            <rFont val="Tahoma"/>
            <family val="0"/>
          </rPr>
          <t xml:space="preserve">Valid FRM measurements, based on the results of the outlier test.
</t>
        </r>
      </text>
    </comment>
    <comment ref="T82" authorId="0">
      <text>
        <r>
          <rPr>
            <b/>
            <i/>
            <sz val="8"/>
            <rFont val="Tahoma"/>
            <family val="2"/>
          </rPr>
          <t>Unofficial</t>
        </r>
        <r>
          <rPr>
            <sz val="8"/>
            <rFont val="Tahoma"/>
            <family val="0"/>
          </rPr>
          <t xml:space="preserve"> - includes non-valid data sets. 
</t>
        </r>
      </text>
    </comment>
    <comment ref="U82" authorId="0">
      <text>
        <r>
          <rPr>
            <b/>
            <i/>
            <sz val="8"/>
            <rFont val="Tahoma"/>
            <family val="2"/>
          </rPr>
          <t>Unofficial</t>
        </r>
        <r>
          <rPr>
            <sz val="8"/>
            <rFont val="Tahoma"/>
            <family val="0"/>
          </rPr>
          <t xml:space="preserve"> - includes non-valid data sets.  See the "Precision" sheet for precision for test purposes.
</t>
        </r>
      </text>
    </comment>
    <comment ref="D9" authorId="0">
      <text>
        <r>
          <rPr>
            <sz val="8"/>
            <rFont val="Tahoma"/>
            <family val="0"/>
          </rPr>
          <t xml:space="preserve">Enter date applicable to the test data set.
</t>
        </r>
      </text>
    </comment>
    <comment ref="U83" authorId="0">
      <text>
        <r>
          <rPr>
            <b/>
            <i/>
            <sz val="8"/>
            <rFont val="Tahoma"/>
            <family val="2"/>
          </rPr>
          <t>Unofficial</t>
        </r>
        <r>
          <rPr>
            <sz val="8"/>
            <rFont val="Tahoma"/>
            <family val="0"/>
          </rPr>
          <t xml:space="preserve"> - includes non-valid data sets.  See the "Precision" sheet for precision for test purposes.
</t>
        </r>
      </text>
    </comment>
    <comment ref="U84" authorId="0">
      <text>
        <r>
          <rPr>
            <b/>
            <i/>
            <sz val="8"/>
            <rFont val="Tahoma"/>
            <family val="2"/>
          </rPr>
          <t>Unofficial</t>
        </r>
        <r>
          <rPr>
            <sz val="8"/>
            <rFont val="Tahoma"/>
            <family val="0"/>
          </rPr>
          <t xml:space="preserve"> - includes non-valid data sets.  See the "Precision" sheet for precision for test purposes.
</t>
        </r>
      </text>
    </comment>
    <comment ref="U85" authorId="0">
      <text>
        <r>
          <rPr>
            <b/>
            <i/>
            <sz val="8"/>
            <rFont val="Tahoma"/>
            <family val="2"/>
          </rPr>
          <t>Unofficial</t>
        </r>
        <r>
          <rPr>
            <sz val="8"/>
            <rFont val="Tahoma"/>
            <family val="0"/>
          </rPr>
          <t xml:space="preserve"> - includes non-valid data sets.  See the "Precision" sheet for precision for test purposes.
</t>
        </r>
      </text>
    </comment>
    <comment ref="U86" authorId="0">
      <text>
        <r>
          <rPr>
            <b/>
            <i/>
            <sz val="8"/>
            <rFont val="Tahoma"/>
            <family val="2"/>
          </rPr>
          <t>Unofficial</t>
        </r>
        <r>
          <rPr>
            <sz val="8"/>
            <rFont val="Tahoma"/>
            <family val="0"/>
          </rPr>
          <t xml:space="preserve"> - includes non-valid data sets.  See the "Precision" sheet for precision for test purposes.
</t>
        </r>
      </text>
    </comment>
    <comment ref="T83" authorId="0">
      <text>
        <r>
          <rPr>
            <b/>
            <i/>
            <sz val="8"/>
            <rFont val="Tahoma"/>
            <family val="2"/>
          </rPr>
          <t>Unofficial</t>
        </r>
        <r>
          <rPr>
            <sz val="8"/>
            <rFont val="Tahoma"/>
            <family val="0"/>
          </rPr>
          <t xml:space="preserve"> - includes non-valid data sets. 
</t>
        </r>
      </text>
    </comment>
    <comment ref="T84" authorId="0">
      <text>
        <r>
          <rPr>
            <b/>
            <i/>
            <sz val="8"/>
            <rFont val="Tahoma"/>
            <family val="2"/>
          </rPr>
          <t>Unofficial</t>
        </r>
        <r>
          <rPr>
            <sz val="8"/>
            <rFont val="Tahoma"/>
            <family val="0"/>
          </rPr>
          <t xml:space="preserve"> - includes non-valid data sets. 
</t>
        </r>
      </text>
    </comment>
    <comment ref="T85" authorId="0">
      <text>
        <r>
          <rPr>
            <b/>
            <i/>
            <sz val="8"/>
            <rFont val="Tahoma"/>
            <family val="2"/>
          </rPr>
          <t>Unofficial</t>
        </r>
        <r>
          <rPr>
            <sz val="8"/>
            <rFont val="Tahoma"/>
            <family val="0"/>
          </rPr>
          <t xml:space="preserve"> - includes non-valid data sets. 
</t>
        </r>
      </text>
    </comment>
    <comment ref="T86" authorId="0">
      <text>
        <r>
          <rPr>
            <b/>
            <i/>
            <sz val="8"/>
            <rFont val="Tahoma"/>
            <family val="2"/>
          </rPr>
          <t>Unofficial</t>
        </r>
        <r>
          <rPr>
            <sz val="8"/>
            <rFont val="Tahoma"/>
            <family val="0"/>
          </rPr>
          <t xml:space="preserve"> - includes non-valid data sets. 
</t>
        </r>
      </text>
    </comment>
    <comment ref="S83" authorId="0">
      <text>
        <r>
          <rPr>
            <b/>
            <i/>
            <sz val="8"/>
            <rFont val="Tahoma"/>
            <family val="2"/>
          </rPr>
          <t>Unofficial</t>
        </r>
        <r>
          <rPr>
            <sz val="8"/>
            <rFont val="Tahoma"/>
            <family val="0"/>
          </rPr>
          <t xml:space="preserve"> - includes non-valid data sets.  See the "Precision" or "Regression" sheets for official test purposes.
</t>
        </r>
      </text>
    </comment>
    <comment ref="S84" authorId="0">
      <text>
        <r>
          <rPr>
            <b/>
            <i/>
            <sz val="8"/>
            <rFont val="Tahoma"/>
            <family val="2"/>
          </rPr>
          <t>Unofficial</t>
        </r>
        <r>
          <rPr>
            <sz val="8"/>
            <rFont val="Tahoma"/>
            <family val="0"/>
          </rPr>
          <t xml:space="preserve"> - includes non-valid data sets.  See the "Precision" or "Regression" sheets for official test purposes.
</t>
        </r>
      </text>
    </comment>
    <comment ref="S85" authorId="0">
      <text>
        <r>
          <rPr>
            <b/>
            <i/>
            <sz val="8"/>
            <rFont val="Tahoma"/>
            <family val="2"/>
          </rPr>
          <t>Unofficial</t>
        </r>
        <r>
          <rPr>
            <sz val="8"/>
            <rFont val="Tahoma"/>
            <family val="0"/>
          </rPr>
          <t xml:space="preserve"> - includes non-valid data sets.  See the "Precision" or "Regression" sheets for official test purposes.
</t>
        </r>
      </text>
    </comment>
    <comment ref="S86" authorId="0">
      <text>
        <r>
          <rPr>
            <b/>
            <i/>
            <sz val="8"/>
            <rFont val="Tahoma"/>
            <family val="2"/>
          </rPr>
          <t>Unofficial</t>
        </r>
        <r>
          <rPr>
            <sz val="8"/>
            <rFont val="Tahoma"/>
            <family val="0"/>
          </rPr>
          <t xml:space="preserve"> - includes non-valid data sets.  See the "Precision" or "Regression" sheets for official test purposes.
</t>
        </r>
      </text>
    </comment>
    <comment ref="O82" authorId="0">
      <text>
        <r>
          <rPr>
            <sz val="8"/>
            <rFont val="Tahoma"/>
            <family val="0"/>
          </rPr>
          <t xml:space="preserve">See the "Precision" or "Regression" sheets for official calculations for valid data sets.
</t>
        </r>
      </text>
    </comment>
    <comment ref="L9" authorId="0">
      <text>
        <r>
          <rPr>
            <sz val="8"/>
            <rFont val="Tahoma"/>
            <family val="0"/>
          </rPr>
          <t>Tests for FRM outliers  [</t>
        </r>
        <r>
          <rPr>
            <sz val="8"/>
            <rFont val="Arial"/>
            <family val="0"/>
          </rPr>
          <t>§</t>
        </r>
        <r>
          <rPr>
            <sz val="8"/>
            <rFont val="Tahoma"/>
            <family val="0"/>
          </rPr>
          <t xml:space="preserve">53.35(d)(1)].
</t>
        </r>
      </text>
    </comment>
    <comment ref="M9" authorId="0">
      <text>
        <r>
          <rPr>
            <sz val="8"/>
            <rFont val="Tahoma"/>
            <family val="0"/>
          </rPr>
          <t>Tests for FRM outliers  [</t>
        </r>
        <r>
          <rPr>
            <sz val="8"/>
            <rFont val="Arial"/>
            <family val="0"/>
          </rPr>
          <t>§</t>
        </r>
        <r>
          <rPr>
            <sz val="8"/>
            <rFont val="Tahoma"/>
            <family val="0"/>
          </rPr>
          <t xml:space="preserve">53.35(d)(1)].
</t>
        </r>
      </text>
    </comment>
  </commentList>
</comments>
</file>

<file path=xl/comments4.xml><?xml version="1.0" encoding="utf-8"?>
<comments xmlns="http://schemas.openxmlformats.org/spreadsheetml/2006/main">
  <authors>
    <author>mcelroyf</author>
  </authors>
  <commentList>
    <comment ref="Q9" authorId="0">
      <text>
        <r>
          <rPr>
            <sz val="8"/>
            <rFont val="Tahoma"/>
            <family val="0"/>
          </rPr>
          <t xml:space="preserve">Precision as the </t>
        </r>
        <r>
          <rPr>
            <b/>
            <sz val="8"/>
            <rFont val="Tahoma"/>
            <family val="2"/>
          </rPr>
          <t>standard deviation</t>
        </r>
        <r>
          <rPr>
            <sz val="8"/>
            <rFont val="Tahoma"/>
            <family val="0"/>
          </rPr>
          <t xml:space="preserve"> of the candidate method measurements.
</t>
        </r>
      </text>
    </comment>
    <comment ref="R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CV = std. dev.(Col. Q)/mean(Col. P).  
</t>
        </r>
      </text>
    </comment>
    <comment ref="D11" authorId="0">
      <text>
        <r>
          <rPr>
            <sz val="8"/>
            <rFont val="Tahoma"/>
            <family val="0"/>
          </rPr>
          <t xml:space="preserve">Enter dates on the Raw FRM data sheet.
</t>
        </r>
      </text>
    </comment>
    <comment ref="M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D12" authorId="0">
      <text>
        <r>
          <rPr>
            <sz val="8"/>
            <rFont val="Tahoma"/>
            <family val="0"/>
          </rPr>
          <t xml:space="preserve">Enter dates on the Raw FRM data sheet.
</t>
        </r>
      </text>
    </comment>
    <comment ref="D13" authorId="0">
      <text>
        <r>
          <rPr>
            <sz val="8"/>
            <rFont val="Tahoma"/>
            <family val="0"/>
          </rPr>
          <t xml:space="preserve">Enter dates on the Raw FRM data sheet.
</t>
        </r>
      </text>
    </comment>
    <comment ref="D14" authorId="0">
      <text>
        <r>
          <rPr>
            <sz val="8"/>
            <rFont val="Tahoma"/>
            <family val="0"/>
          </rPr>
          <t xml:space="preserve">Enter dates on the Raw FRM data sheet.
</t>
        </r>
      </text>
    </comment>
    <comment ref="D15" authorId="0">
      <text>
        <r>
          <rPr>
            <sz val="8"/>
            <rFont val="Tahoma"/>
            <family val="0"/>
          </rPr>
          <t xml:space="preserve">Enter dates on the Raw FRM data sheet.
</t>
        </r>
      </text>
    </comment>
    <comment ref="D16" authorId="0">
      <text>
        <r>
          <rPr>
            <sz val="8"/>
            <rFont val="Tahoma"/>
            <family val="0"/>
          </rPr>
          <t xml:space="preserve">Enter dates on the Raw FRM data sheet.
</t>
        </r>
      </text>
    </comment>
    <comment ref="D17" authorId="0">
      <text>
        <r>
          <rPr>
            <sz val="8"/>
            <rFont val="Tahoma"/>
            <family val="0"/>
          </rPr>
          <t xml:space="preserve">Enter dates on the Raw FRM data sheet.
</t>
        </r>
      </text>
    </comment>
    <comment ref="D18" authorId="0">
      <text>
        <r>
          <rPr>
            <sz val="8"/>
            <rFont val="Tahoma"/>
            <family val="0"/>
          </rPr>
          <t xml:space="preserve">Enter dates on the Raw FRM data sheet.
</t>
        </r>
      </text>
    </comment>
    <comment ref="D19" authorId="0">
      <text>
        <r>
          <rPr>
            <sz val="8"/>
            <rFont val="Tahoma"/>
            <family val="0"/>
          </rPr>
          <t xml:space="preserve">Enter dates on the Raw FRM data sheet.
</t>
        </r>
      </text>
    </comment>
    <comment ref="D20" authorId="0">
      <text>
        <r>
          <rPr>
            <sz val="8"/>
            <rFont val="Tahoma"/>
            <family val="0"/>
          </rPr>
          <t xml:space="preserve">Enter dates on the Raw FRM data sheet.
</t>
        </r>
      </text>
    </comment>
    <comment ref="D21" authorId="0">
      <text>
        <r>
          <rPr>
            <sz val="8"/>
            <rFont val="Tahoma"/>
            <family val="0"/>
          </rPr>
          <t xml:space="preserve">Enter dates on the Raw FRM data sheet.
</t>
        </r>
      </text>
    </comment>
    <comment ref="D22" authorId="0">
      <text>
        <r>
          <rPr>
            <sz val="8"/>
            <rFont val="Tahoma"/>
            <family val="0"/>
          </rPr>
          <t xml:space="preserve">Enter dates on the Raw FRM data sheet.
</t>
        </r>
      </text>
    </comment>
    <comment ref="D23" authorId="0">
      <text>
        <r>
          <rPr>
            <sz val="8"/>
            <rFont val="Tahoma"/>
            <family val="0"/>
          </rPr>
          <t xml:space="preserve">Enter dates on the Raw FRM data sheet.
</t>
        </r>
      </text>
    </comment>
    <comment ref="D24" authorId="0">
      <text>
        <r>
          <rPr>
            <sz val="8"/>
            <rFont val="Tahoma"/>
            <family val="0"/>
          </rPr>
          <t xml:space="preserve">Enter dates on the Raw FRM data sheet.
</t>
        </r>
      </text>
    </comment>
    <comment ref="D25" authorId="0">
      <text>
        <r>
          <rPr>
            <sz val="8"/>
            <rFont val="Tahoma"/>
            <family val="0"/>
          </rPr>
          <t xml:space="preserve">Enter dates on the Raw FRM data sheet.
</t>
        </r>
      </text>
    </comment>
    <comment ref="D26" authorId="0">
      <text>
        <r>
          <rPr>
            <sz val="8"/>
            <rFont val="Tahoma"/>
            <family val="0"/>
          </rPr>
          <t xml:space="preserve">Enter dates on the Raw FRM data sheet.
</t>
        </r>
      </text>
    </comment>
    <comment ref="D27" authorId="0">
      <text>
        <r>
          <rPr>
            <sz val="8"/>
            <rFont val="Tahoma"/>
            <family val="0"/>
          </rPr>
          <t xml:space="preserve">Enter dates on the Raw FRM data sheet.
</t>
        </r>
      </text>
    </comment>
    <comment ref="D28" authorId="0">
      <text>
        <r>
          <rPr>
            <sz val="8"/>
            <rFont val="Tahoma"/>
            <family val="0"/>
          </rPr>
          <t xml:space="preserve">Enter dates on the Raw FRM data sheet.
</t>
        </r>
      </text>
    </comment>
    <comment ref="D29" authorId="0">
      <text>
        <r>
          <rPr>
            <sz val="8"/>
            <rFont val="Tahoma"/>
            <family val="0"/>
          </rPr>
          <t xml:space="preserve">Enter dates on the Raw FRM data sheet.
</t>
        </r>
      </text>
    </comment>
    <comment ref="D30" authorId="0">
      <text>
        <r>
          <rPr>
            <sz val="8"/>
            <rFont val="Tahoma"/>
            <family val="0"/>
          </rPr>
          <t xml:space="preserve">Enter dates on the Raw FRM data sheet.
</t>
        </r>
      </text>
    </comment>
    <comment ref="D31" authorId="0">
      <text>
        <r>
          <rPr>
            <sz val="8"/>
            <rFont val="Tahoma"/>
            <family val="0"/>
          </rPr>
          <t xml:space="preserve">Enter dates on the Raw FRM data sheet.
</t>
        </r>
      </text>
    </comment>
    <comment ref="D32" authorId="0">
      <text>
        <r>
          <rPr>
            <sz val="8"/>
            <rFont val="Tahoma"/>
            <family val="0"/>
          </rPr>
          <t xml:space="preserve">Enter dates on the Raw FRM data sheet.
</t>
        </r>
      </text>
    </comment>
    <comment ref="D33" authorId="0">
      <text>
        <r>
          <rPr>
            <sz val="8"/>
            <rFont val="Tahoma"/>
            <family val="0"/>
          </rPr>
          <t xml:space="preserve">Enter dates on the Raw FRM data sheet.
</t>
        </r>
      </text>
    </comment>
    <comment ref="D34" authorId="0">
      <text>
        <r>
          <rPr>
            <sz val="8"/>
            <rFont val="Tahoma"/>
            <family val="0"/>
          </rPr>
          <t xml:space="preserve">Enter dates on the Raw FRM data sheet.
</t>
        </r>
      </text>
    </comment>
    <comment ref="D35" authorId="0">
      <text>
        <r>
          <rPr>
            <sz val="8"/>
            <rFont val="Tahoma"/>
            <family val="0"/>
          </rPr>
          <t xml:space="preserve">Enter dates on the Raw FRM data sheet.
</t>
        </r>
      </text>
    </comment>
    <comment ref="D36" authorId="0">
      <text>
        <r>
          <rPr>
            <sz val="8"/>
            <rFont val="Tahoma"/>
            <family val="0"/>
          </rPr>
          <t xml:space="preserve">Enter dates on the Raw FRM data sheet.
</t>
        </r>
      </text>
    </comment>
    <comment ref="D37" authorId="0">
      <text>
        <r>
          <rPr>
            <sz val="8"/>
            <rFont val="Tahoma"/>
            <family val="0"/>
          </rPr>
          <t xml:space="preserve">Enter dates on the Raw FRM data sheet.
</t>
        </r>
      </text>
    </comment>
    <comment ref="D38" authorId="0">
      <text>
        <r>
          <rPr>
            <sz val="8"/>
            <rFont val="Tahoma"/>
            <family val="0"/>
          </rPr>
          <t xml:space="preserve">Enter dates on the Raw FRM data sheet.
</t>
        </r>
      </text>
    </comment>
    <comment ref="D39" authorId="0">
      <text>
        <r>
          <rPr>
            <sz val="8"/>
            <rFont val="Tahoma"/>
            <family val="0"/>
          </rPr>
          <t xml:space="preserve">Enter dates on the Raw FRM data sheet.
</t>
        </r>
      </text>
    </comment>
    <comment ref="D40" authorId="0">
      <text>
        <r>
          <rPr>
            <sz val="8"/>
            <rFont val="Tahoma"/>
            <family val="0"/>
          </rPr>
          <t xml:space="preserve">Enter dates on the Raw FRM data sheet.
</t>
        </r>
      </text>
    </comment>
    <comment ref="D41" authorId="0">
      <text>
        <r>
          <rPr>
            <sz val="8"/>
            <rFont val="Tahoma"/>
            <family val="0"/>
          </rPr>
          <t xml:space="preserve">Enter dates on the Raw FRM data sheet.
</t>
        </r>
      </text>
    </comment>
    <comment ref="D42" authorId="0">
      <text>
        <r>
          <rPr>
            <sz val="8"/>
            <rFont val="Tahoma"/>
            <family val="0"/>
          </rPr>
          <t xml:space="preserve">Enter dates on the Raw FRM data sheet.
</t>
        </r>
      </text>
    </comment>
    <comment ref="D43" authorId="0">
      <text>
        <r>
          <rPr>
            <sz val="8"/>
            <rFont val="Tahoma"/>
            <family val="0"/>
          </rPr>
          <t xml:space="preserve">Enter dates on the Raw FRM data sheet.
</t>
        </r>
      </text>
    </comment>
    <comment ref="D44" authorId="0">
      <text>
        <r>
          <rPr>
            <sz val="8"/>
            <rFont val="Tahoma"/>
            <family val="0"/>
          </rPr>
          <t xml:space="preserve">Enter dates on the Raw FRM data sheet.
</t>
        </r>
      </text>
    </comment>
    <comment ref="D45" authorId="0">
      <text>
        <r>
          <rPr>
            <sz val="8"/>
            <rFont val="Tahoma"/>
            <family val="0"/>
          </rPr>
          <t xml:space="preserve">Enter dates on the Raw FRM data sheet.
</t>
        </r>
      </text>
    </comment>
    <comment ref="D46" authorId="0">
      <text>
        <r>
          <rPr>
            <sz val="8"/>
            <rFont val="Tahoma"/>
            <family val="0"/>
          </rPr>
          <t xml:space="preserve">Enter dates on the Raw FRM data sheet.
</t>
        </r>
      </text>
    </comment>
    <comment ref="D47" authorId="0">
      <text>
        <r>
          <rPr>
            <sz val="8"/>
            <rFont val="Tahoma"/>
            <family val="0"/>
          </rPr>
          <t xml:space="preserve">Enter dates on the Raw FRM data sheet.
</t>
        </r>
      </text>
    </comment>
    <comment ref="D48" authorId="0">
      <text>
        <r>
          <rPr>
            <sz val="8"/>
            <rFont val="Tahoma"/>
            <family val="0"/>
          </rPr>
          <t xml:space="preserve">Enter dates on the Raw FRM data sheet.
</t>
        </r>
      </text>
    </comment>
    <comment ref="D49" authorId="0">
      <text>
        <r>
          <rPr>
            <sz val="8"/>
            <rFont val="Tahoma"/>
            <family val="0"/>
          </rPr>
          <t xml:space="preserve">Enter dates on the Raw FRM data sheet.
</t>
        </r>
      </text>
    </comment>
    <comment ref="D50" authorId="0">
      <text>
        <r>
          <rPr>
            <sz val="8"/>
            <rFont val="Tahoma"/>
            <family val="0"/>
          </rPr>
          <t xml:space="preserve">Enter dates on the Raw FRM data sheet.
</t>
        </r>
      </text>
    </comment>
    <comment ref="D51" authorId="0">
      <text>
        <r>
          <rPr>
            <sz val="8"/>
            <rFont val="Tahoma"/>
            <family val="0"/>
          </rPr>
          <t xml:space="preserve">Enter dates on the Raw FRM data sheet.
</t>
        </r>
      </text>
    </comment>
    <comment ref="D52" authorId="0">
      <text>
        <r>
          <rPr>
            <sz val="8"/>
            <rFont val="Tahoma"/>
            <family val="0"/>
          </rPr>
          <t xml:space="preserve">Enter dates on the Raw FRM data sheet.
</t>
        </r>
      </text>
    </comment>
    <comment ref="D53" authorId="0">
      <text>
        <r>
          <rPr>
            <sz val="8"/>
            <rFont val="Tahoma"/>
            <family val="0"/>
          </rPr>
          <t xml:space="preserve">Enter dates on the Raw FRM data sheet.
</t>
        </r>
      </text>
    </comment>
    <comment ref="D54" authorId="0">
      <text>
        <r>
          <rPr>
            <sz val="8"/>
            <rFont val="Tahoma"/>
            <family val="0"/>
          </rPr>
          <t xml:space="preserve">Enter dates on the Raw FRM data sheet.
</t>
        </r>
      </text>
    </comment>
    <comment ref="D55" authorId="0">
      <text>
        <r>
          <rPr>
            <sz val="8"/>
            <rFont val="Tahoma"/>
            <family val="0"/>
          </rPr>
          <t xml:space="preserve">Enter dates on the Raw FRM data sheet.
</t>
        </r>
      </text>
    </comment>
    <comment ref="D56" authorId="0">
      <text>
        <r>
          <rPr>
            <sz val="8"/>
            <rFont val="Tahoma"/>
            <family val="0"/>
          </rPr>
          <t xml:space="preserve">Enter dates on the Raw FRM data sheet.
</t>
        </r>
      </text>
    </comment>
    <comment ref="D57" authorId="0">
      <text>
        <r>
          <rPr>
            <sz val="8"/>
            <rFont val="Tahoma"/>
            <family val="0"/>
          </rPr>
          <t xml:space="preserve">Enter dates on the Raw FRM data sheet.
</t>
        </r>
      </text>
    </comment>
    <comment ref="O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N9" authorId="0">
      <text>
        <r>
          <rPr>
            <sz val="8"/>
            <rFont val="Tahoma"/>
            <family val="0"/>
          </rPr>
          <t xml:space="preserve">The outlier test does not apply to candidate method measurements.
</t>
        </r>
      </text>
    </comment>
    <comment ref="P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O82" authorId="0">
      <text>
        <r>
          <rPr>
            <sz val="8"/>
            <rFont val="Tahoma"/>
            <family val="0"/>
          </rPr>
          <t xml:space="preserve">See the "Precision" or "Regression" sheets for official calculations for valid data sets.
</t>
        </r>
      </text>
    </comment>
    <comment ref="P82" authorId="0">
      <text>
        <r>
          <rPr>
            <b/>
            <i/>
            <sz val="8"/>
            <rFont val="Tahoma"/>
            <family val="2"/>
          </rPr>
          <t>Unofficial</t>
        </r>
        <r>
          <rPr>
            <sz val="8"/>
            <rFont val="Tahoma"/>
            <family val="0"/>
          </rPr>
          <t xml:space="preserve"> - includes non-valid data sets.  See the "Precision" or "Regression" sheets for official test purposes.
</t>
        </r>
      </text>
    </comment>
    <comment ref="P83" authorId="0">
      <text>
        <r>
          <rPr>
            <b/>
            <i/>
            <sz val="8"/>
            <rFont val="Tahoma"/>
            <family val="2"/>
          </rPr>
          <t>Unofficial</t>
        </r>
        <r>
          <rPr>
            <sz val="8"/>
            <rFont val="Tahoma"/>
            <family val="0"/>
          </rPr>
          <t xml:space="preserve"> - includes non-valid data sets.  See the "Precision" or "Regression" sheets for official test purposes.
</t>
        </r>
      </text>
    </comment>
    <comment ref="P84" authorId="0">
      <text>
        <r>
          <rPr>
            <b/>
            <i/>
            <sz val="8"/>
            <rFont val="Tahoma"/>
            <family val="2"/>
          </rPr>
          <t>Unofficial</t>
        </r>
        <r>
          <rPr>
            <sz val="8"/>
            <rFont val="Tahoma"/>
            <family val="0"/>
          </rPr>
          <t xml:space="preserve"> - includes non-valid data sets.  See the "Precision" or "Regression" sheets for official test purposes.
</t>
        </r>
      </text>
    </comment>
    <comment ref="P85" authorId="0">
      <text>
        <r>
          <rPr>
            <b/>
            <i/>
            <sz val="8"/>
            <rFont val="Tahoma"/>
            <family val="2"/>
          </rPr>
          <t>Unofficial</t>
        </r>
        <r>
          <rPr>
            <sz val="8"/>
            <rFont val="Tahoma"/>
            <family val="0"/>
          </rPr>
          <t xml:space="preserve"> - includes non-valid data sets.  See the "Precision" or "Regression" sheets for official test purposes.
</t>
        </r>
      </text>
    </comment>
    <comment ref="P86" authorId="0">
      <text>
        <r>
          <rPr>
            <b/>
            <i/>
            <sz val="8"/>
            <rFont val="Tahoma"/>
            <family val="2"/>
          </rPr>
          <t>Unofficial</t>
        </r>
        <r>
          <rPr>
            <sz val="8"/>
            <rFont val="Tahoma"/>
            <family val="0"/>
          </rPr>
          <t xml:space="preserve"> - includes non-valid data sets.  See the "Precision" or "Regression" sheets for official test purposes.
</t>
        </r>
      </text>
    </comment>
    <comment ref="Q82" authorId="0">
      <text>
        <r>
          <rPr>
            <b/>
            <i/>
            <sz val="8"/>
            <rFont val="Tahoma"/>
            <family val="2"/>
          </rPr>
          <t>Unofficial</t>
        </r>
        <r>
          <rPr>
            <sz val="8"/>
            <rFont val="Tahoma"/>
            <family val="0"/>
          </rPr>
          <t xml:space="preserve"> - includes non-valid data sets. 
</t>
        </r>
      </text>
    </comment>
    <comment ref="Q83" authorId="0">
      <text>
        <r>
          <rPr>
            <b/>
            <i/>
            <sz val="8"/>
            <rFont val="Tahoma"/>
            <family val="2"/>
          </rPr>
          <t>Unofficial</t>
        </r>
        <r>
          <rPr>
            <sz val="8"/>
            <rFont val="Tahoma"/>
            <family val="0"/>
          </rPr>
          <t xml:space="preserve"> - includes non-valid data sets. 
</t>
        </r>
      </text>
    </comment>
    <comment ref="Q84" authorId="0">
      <text>
        <r>
          <rPr>
            <b/>
            <i/>
            <sz val="8"/>
            <rFont val="Tahoma"/>
            <family val="2"/>
          </rPr>
          <t>Unofficial</t>
        </r>
        <r>
          <rPr>
            <sz val="8"/>
            <rFont val="Tahoma"/>
            <family val="0"/>
          </rPr>
          <t xml:space="preserve"> - includes non-valid data sets. 
</t>
        </r>
      </text>
    </comment>
    <comment ref="Q85" authorId="0">
      <text>
        <r>
          <rPr>
            <b/>
            <i/>
            <sz val="8"/>
            <rFont val="Tahoma"/>
            <family val="2"/>
          </rPr>
          <t>Unofficial</t>
        </r>
        <r>
          <rPr>
            <sz val="8"/>
            <rFont val="Tahoma"/>
            <family val="0"/>
          </rPr>
          <t xml:space="preserve"> - includes non-valid data sets. 
</t>
        </r>
      </text>
    </comment>
    <comment ref="Q86" authorId="0">
      <text>
        <r>
          <rPr>
            <b/>
            <i/>
            <sz val="8"/>
            <rFont val="Tahoma"/>
            <family val="2"/>
          </rPr>
          <t>Unofficial</t>
        </r>
        <r>
          <rPr>
            <sz val="8"/>
            <rFont val="Tahoma"/>
            <family val="0"/>
          </rPr>
          <t xml:space="preserve"> - includes non-valid data sets. 
</t>
        </r>
      </text>
    </comment>
    <comment ref="R82" authorId="0">
      <text>
        <r>
          <rPr>
            <b/>
            <i/>
            <sz val="8"/>
            <rFont val="Tahoma"/>
            <family val="2"/>
          </rPr>
          <t>Unofficial</t>
        </r>
        <r>
          <rPr>
            <sz val="8"/>
            <rFont val="Tahoma"/>
            <family val="0"/>
          </rPr>
          <t xml:space="preserve"> - includes non-valid data sets.  See the "Precision" sheet for precision for test purposes.
</t>
        </r>
      </text>
    </comment>
    <comment ref="R83" authorId="0">
      <text>
        <r>
          <rPr>
            <b/>
            <i/>
            <sz val="8"/>
            <rFont val="Tahoma"/>
            <family val="2"/>
          </rPr>
          <t>Unofficial</t>
        </r>
        <r>
          <rPr>
            <sz val="8"/>
            <rFont val="Tahoma"/>
            <family val="0"/>
          </rPr>
          <t xml:space="preserve"> - includes non-valid data sets.  See the "Precision" sheet for precision for test purposes.
</t>
        </r>
      </text>
    </comment>
    <comment ref="R84" authorId="0">
      <text>
        <r>
          <rPr>
            <b/>
            <i/>
            <sz val="8"/>
            <rFont val="Tahoma"/>
            <family val="2"/>
          </rPr>
          <t>Unofficial</t>
        </r>
        <r>
          <rPr>
            <sz val="8"/>
            <rFont val="Tahoma"/>
            <family val="0"/>
          </rPr>
          <t xml:space="preserve"> - includes non-valid data sets.  See the "Precision" sheet for precision for test purposes.
</t>
        </r>
      </text>
    </comment>
    <comment ref="R85" authorId="0">
      <text>
        <r>
          <rPr>
            <b/>
            <i/>
            <sz val="8"/>
            <rFont val="Tahoma"/>
            <family val="2"/>
          </rPr>
          <t>Unofficial</t>
        </r>
        <r>
          <rPr>
            <sz val="8"/>
            <rFont val="Tahoma"/>
            <family val="0"/>
          </rPr>
          <t xml:space="preserve"> - includes non-valid data sets.  See the "Precision" sheet for precision for test purposes.
</t>
        </r>
      </text>
    </comment>
    <comment ref="R86" authorId="0">
      <text>
        <r>
          <rPr>
            <b/>
            <i/>
            <sz val="8"/>
            <rFont val="Tahoma"/>
            <family val="2"/>
          </rPr>
          <t>Unofficial</t>
        </r>
        <r>
          <rPr>
            <sz val="8"/>
            <rFont val="Tahoma"/>
            <family val="0"/>
          </rPr>
          <t xml:space="preserve"> - includes non-valid data sets.  See the "Precision" sheet for precision for test purposes.
</t>
        </r>
      </text>
    </comment>
    <comment ref="D58" authorId="0">
      <text>
        <r>
          <rPr>
            <sz val="8"/>
            <rFont val="Tahoma"/>
            <family val="0"/>
          </rPr>
          <t xml:space="preserve">Enter dates on the Raw FRM data sheet.
</t>
        </r>
      </text>
    </comment>
    <comment ref="D59" authorId="0">
      <text>
        <r>
          <rPr>
            <sz val="8"/>
            <rFont val="Tahoma"/>
            <family val="0"/>
          </rPr>
          <t xml:space="preserve">Enter dates on the Raw FRM data sheet.
</t>
        </r>
      </text>
    </comment>
    <comment ref="D60" authorId="0">
      <text>
        <r>
          <rPr>
            <sz val="8"/>
            <rFont val="Tahoma"/>
            <family val="0"/>
          </rPr>
          <t xml:space="preserve">Enter dates on the Raw FRM data sheet.
</t>
        </r>
      </text>
    </comment>
    <comment ref="D61" authorId="0">
      <text>
        <r>
          <rPr>
            <sz val="8"/>
            <rFont val="Tahoma"/>
            <family val="0"/>
          </rPr>
          <t xml:space="preserve">Enter dates on the Raw FRM data sheet.
</t>
        </r>
      </text>
    </comment>
    <comment ref="D62" authorId="0">
      <text>
        <r>
          <rPr>
            <sz val="8"/>
            <rFont val="Tahoma"/>
            <family val="0"/>
          </rPr>
          <t xml:space="preserve">Enter dates on the Raw FRM data sheet.
</t>
        </r>
      </text>
    </comment>
    <comment ref="D63" authorId="0">
      <text>
        <r>
          <rPr>
            <sz val="8"/>
            <rFont val="Tahoma"/>
            <family val="0"/>
          </rPr>
          <t xml:space="preserve">Enter dates on the Raw FRM data sheet.
</t>
        </r>
      </text>
    </comment>
    <comment ref="D64" authorId="0">
      <text>
        <r>
          <rPr>
            <sz val="8"/>
            <rFont val="Tahoma"/>
            <family val="0"/>
          </rPr>
          <t xml:space="preserve">Enter dates on the Raw FRM data sheet.
</t>
        </r>
      </text>
    </comment>
    <comment ref="D65" authorId="0">
      <text>
        <r>
          <rPr>
            <sz val="8"/>
            <rFont val="Tahoma"/>
            <family val="0"/>
          </rPr>
          <t xml:space="preserve">Enter dates on the Raw FRM data sheet.
</t>
        </r>
      </text>
    </comment>
    <comment ref="D66" authorId="0">
      <text>
        <r>
          <rPr>
            <sz val="8"/>
            <rFont val="Tahoma"/>
            <family val="0"/>
          </rPr>
          <t xml:space="preserve">Enter dates on the Raw FRM data sheet.
</t>
        </r>
      </text>
    </comment>
    <comment ref="D67" authorId="0">
      <text>
        <r>
          <rPr>
            <sz val="8"/>
            <rFont val="Tahoma"/>
            <family val="0"/>
          </rPr>
          <t xml:space="preserve">Enter dates on the Raw FRM data sheet.
</t>
        </r>
      </text>
    </comment>
    <comment ref="D68" authorId="0">
      <text>
        <r>
          <rPr>
            <sz val="8"/>
            <rFont val="Tahoma"/>
            <family val="0"/>
          </rPr>
          <t xml:space="preserve">Enter dates on the Raw FRM data sheet.
</t>
        </r>
      </text>
    </comment>
    <comment ref="D69" authorId="0">
      <text>
        <r>
          <rPr>
            <sz val="8"/>
            <rFont val="Tahoma"/>
            <family val="0"/>
          </rPr>
          <t xml:space="preserve">Enter dates on the Raw FRM data sheet.
</t>
        </r>
      </text>
    </comment>
    <comment ref="D70" authorId="0">
      <text>
        <r>
          <rPr>
            <sz val="8"/>
            <rFont val="Tahoma"/>
            <family val="0"/>
          </rPr>
          <t xml:space="preserve">Enter dates on the Raw FRM data sheet.
</t>
        </r>
      </text>
    </comment>
    <comment ref="D71" authorId="0">
      <text>
        <r>
          <rPr>
            <sz val="8"/>
            <rFont val="Tahoma"/>
            <family val="0"/>
          </rPr>
          <t xml:space="preserve">Enter dates on the Raw FRM data sheet.
</t>
        </r>
      </text>
    </comment>
    <comment ref="D72" authorId="0">
      <text>
        <r>
          <rPr>
            <sz val="8"/>
            <rFont val="Tahoma"/>
            <family val="0"/>
          </rPr>
          <t xml:space="preserve">Enter dates on the Raw FRM data sheet.
</t>
        </r>
      </text>
    </comment>
    <comment ref="D73" authorId="0">
      <text>
        <r>
          <rPr>
            <sz val="8"/>
            <rFont val="Tahoma"/>
            <family val="0"/>
          </rPr>
          <t xml:space="preserve">Enter dates on the Raw FRM data sheet.
</t>
        </r>
      </text>
    </comment>
    <comment ref="D74" authorId="0">
      <text>
        <r>
          <rPr>
            <sz val="8"/>
            <rFont val="Tahoma"/>
            <family val="0"/>
          </rPr>
          <t xml:space="preserve">Enter dates on the Raw FRM data sheet.
</t>
        </r>
      </text>
    </comment>
    <comment ref="D75" authorId="0">
      <text>
        <r>
          <rPr>
            <sz val="8"/>
            <rFont val="Tahoma"/>
            <family val="0"/>
          </rPr>
          <t xml:space="preserve">Enter dates on the Raw FRM data sheet.
</t>
        </r>
      </text>
    </comment>
    <comment ref="D76" authorId="0">
      <text>
        <r>
          <rPr>
            <sz val="8"/>
            <rFont val="Tahoma"/>
            <family val="0"/>
          </rPr>
          <t xml:space="preserve">Enter dates on the Raw FRM data sheet.
</t>
        </r>
      </text>
    </comment>
    <comment ref="D77" authorId="0">
      <text>
        <r>
          <rPr>
            <sz val="8"/>
            <rFont val="Tahoma"/>
            <family val="0"/>
          </rPr>
          <t xml:space="preserve">Enter dates on the Raw FRM data sheet.
</t>
        </r>
      </text>
    </comment>
    <comment ref="D78" authorId="0">
      <text>
        <r>
          <rPr>
            <sz val="8"/>
            <rFont val="Tahoma"/>
            <family val="0"/>
          </rPr>
          <t xml:space="preserve">Enter dates on the Raw FRM data sheet.
</t>
        </r>
      </text>
    </comment>
    <comment ref="D79" authorId="0">
      <text>
        <r>
          <rPr>
            <sz val="8"/>
            <rFont val="Tahoma"/>
            <family val="0"/>
          </rPr>
          <t xml:space="preserve">Enter dates on the Raw FRM data sheet.
</t>
        </r>
      </text>
    </comment>
    <comment ref="D8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M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O8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J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8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8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8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I90" authorId="0">
      <text>
        <r>
          <rPr>
            <sz val="8"/>
            <rFont val="Tahoma"/>
            <family val="0"/>
          </rPr>
          <t xml:space="preserve">Requirement for method precision [Table C-4].
</t>
        </r>
      </text>
    </comment>
    <comment ref="M90" authorId="0">
      <text>
        <r>
          <rPr>
            <sz val="8"/>
            <rFont val="Tahoma"/>
            <family val="0"/>
          </rPr>
          <t xml:space="preserve">Requirement for FRM method precision [Table C-4].
</t>
        </r>
      </text>
    </comment>
    <comment ref="O90" authorId="0">
      <text>
        <r>
          <rPr>
            <sz val="8"/>
            <rFont val="Tahoma"/>
            <family val="0"/>
          </rPr>
          <t xml:space="preserve">Requirement for Candidate method precision [Table C-4].
</t>
        </r>
      </text>
    </comment>
    <comment ref="L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L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O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L91" authorId="0">
      <text>
        <r>
          <rPr>
            <sz val="8"/>
            <rFont val="Tahoma"/>
            <family val="0"/>
          </rPr>
          <t xml:space="preserve">Test results are based only on the calculated precision, not considering whether the number of valid data sets is sufficient.
</t>
        </r>
      </text>
    </comment>
    <comment ref="M91" authorId="0">
      <text>
        <r>
          <rPr>
            <sz val="8"/>
            <rFont val="Tahoma"/>
            <family val="0"/>
          </rPr>
          <t xml:space="preserve">Test result is based only on the calculated precision, not considering whether the number of valid data sets is sufficient.
</t>
        </r>
      </text>
    </comment>
    <comment ref="O9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K7"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K80"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K81"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K84"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P81"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Q81"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R81"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P82" authorId="0">
      <text>
        <r>
          <rPr>
            <sz val="8"/>
            <rFont val="Tahoma"/>
            <family val="0"/>
          </rPr>
          <t xml:space="preserve">[Limit specified by Table C-4.]
</t>
        </r>
      </text>
    </comment>
    <comment ref="Q82" authorId="0">
      <text>
        <r>
          <rPr>
            <sz val="8"/>
            <rFont val="Tahoma"/>
            <family val="0"/>
          </rPr>
          <t xml:space="preserve">[Limit specified by Table C-4.]
</t>
        </r>
      </text>
    </comment>
    <comment ref="P83" authorId="0">
      <text>
        <r>
          <rPr>
            <sz val="8"/>
            <rFont val="Tahoma"/>
            <family val="0"/>
          </rPr>
          <t xml:space="preserve">[Limit specified by Table C-4.]
</t>
        </r>
      </text>
    </comment>
    <comment ref="Q83" authorId="0">
      <text>
        <r>
          <rPr>
            <sz val="8"/>
            <rFont val="Tahoma"/>
            <family val="0"/>
          </rPr>
          <t xml:space="preserve">[Limit specified by Table C-4.]
</t>
        </r>
      </text>
    </comment>
    <comment ref="R83" authorId="0">
      <text>
        <r>
          <rPr>
            <sz val="8"/>
            <rFont val="Tahoma"/>
            <family val="0"/>
          </rPr>
          <t xml:space="preserve">[Limit specified by Table C-4.]
</t>
        </r>
      </text>
    </comment>
    <comment ref="O84" authorId="0">
      <text>
        <r>
          <rPr>
            <sz val="8"/>
            <rFont val="Tahoma"/>
            <family val="0"/>
          </rPr>
          <t xml:space="preserve">Test results are based only on the calculated values, not considering whether the number of valid data sets is sufficient.
</t>
        </r>
      </text>
    </comment>
    <comment ref="P84" authorId="0">
      <text>
        <r>
          <rPr>
            <sz val="8"/>
            <rFont val="Tahoma"/>
            <family val="0"/>
          </rPr>
          <t xml:space="preserve">Test result is based only on the calculated value, not considering whether the number of valid data sets is sufficient.
</t>
        </r>
      </text>
    </comment>
    <comment ref="Q84" authorId="0">
      <text>
        <r>
          <rPr>
            <sz val="8"/>
            <rFont val="Tahoma"/>
            <family val="0"/>
          </rPr>
          <t xml:space="preserve">Test result is based only on the calculated value, not considering whether the number of valid data sets is sufficient.
</t>
        </r>
      </text>
    </comment>
    <comment ref="R84" authorId="0">
      <text>
        <r>
          <rPr>
            <sz val="8"/>
            <rFont val="Tahoma"/>
            <family val="0"/>
          </rPr>
          <t xml:space="preserve">Test result is based only on the calculated value, not considering whether the number of valid data sets is sufficient.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K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[Table C-4].
</t>
        </r>
      </text>
    </comment>
    <comment ref="K20" authorId="0">
      <text>
        <r>
          <rPr>
            <sz val="8"/>
            <rFont val="Tahoma"/>
            <family val="0"/>
          </rPr>
          <t xml:space="preserve">Requirement for FRM method precision [Table C-4].
</t>
        </r>
      </text>
    </comment>
    <comment ref="L20" authorId="0">
      <text>
        <r>
          <rPr>
            <sz val="8"/>
            <rFont val="Tahoma"/>
            <family val="0"/>
          </rPr>
          <t xml:space="preserve">Requirement for Candidate method precision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List>
</comments>
</file>

<file path=xl/sharedStrings.xml><?xml version="1.0" encoding="utf-8"?>
<sst xmlns="http://schemas.openxmlformats.org/spreadsheetml/2006/main" count="301" uniqueCount="180">
  <si>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</si>
  <si>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r>
      <rPr>
        <b/>
        <vertAlign val="superscript"/>
        <sz val="18"/>
        <rFont val="Arial"/>
        <family val="2"/>
      </rPr>
      <t>♦</t>
    </r>
    <r>
      <rPr>
        <b/>
        <sz val="18"/>
        <rFont val="Arial"/>
        <family val="2"/>
      </rPr>
      <t>]</t>
    </r>
  </si>
  <si>
    <t>Applicant:</t>
  </si>
  <si>
    <t xml:space="preserve">   Applicant name:</t>
  </si>
  <si>
    <t xml:space="preserve">   Applicant address:</t>
  </si>
  <si>
    <t>Candidate Method:</t>
  </si>
  <si>
    <t>Test site:</t>
  </si>
  <si>
    <t>Candidate method:</t>
  </si>
  <si>
    <t>Date</t>
  </si>
  <si>
    <t>Sampler 1</t>
  </si>
  <si>
    <t>Sampler 2</t>
  </si>
  <si>
    <t>Sampler 3</t>
  </si>
  <si>
    <t>Mean</t>
  </si>
  <si>
    <t>Precision</t>
  </si>
  <si>
    <t>CV</t>
  </si>
  <si>
    <t>Extra sets</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</si>
  <si>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</si>
  <si>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</si>
  <si>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</si>
  <si>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</si>
  <si>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</si>
  <si>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</si>
  <si>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</si>
  <si>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</si>
  <si>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</si>
  <si>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</si>
  <si>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valid</t>
  </si>
  <si>
    <t>Test</t>
  </si>
  <si>
    <r>
      <t>μg/m</t>
    </r>
    <r>
      <rPr>
        <b/>
        <vertAlign val="superscript"/>
        <sz val="10"/>
        <rFont val="Arial"/>
        <family val="0"/>
      </rPr>
      <t>3</t>
    </r>
  </si>
  <si>
    <t>Max</t>
  </si>
  <si>
    <t>Min</t>
  </si>
  <si>
    <t>Count</t>
  </si>
  <si>
    <t>Valid sets</t>
  </si>
  <si>
    <t>All sets</t>
  </si>
  <si>
    <t xml:space="preserve"> Template for Entering Candidate Method Test</t>
  </si>
  <si>
    <t xml:space="preserve"> Data and Calculating Results Related to a U.S.</t>
  </si>
  <si>
    <t>Candidate Method (FEM) data entry</t>
  </si>
  <si>
    <t>Outlier tests: NOT APPLICABLE</t>
  </si>
  <si>
    <t>Values</t>
  </si>
  <si>
    <t>Available</t>
  </si>
  <si>
    <t>Unit 1</t>
  </si>
  <si>
    <t>Unit 2</t>
  </si>
  <si>
    <t>Unit 3</t>
  </si>
  <si>
    <t>Cand. Set</t>
  </si>
  <si>
    <t>FRM Set</t>
  </si>
  <si>
    <t>Comments regarding FRM data set</t>
  </si>
  <si>
    <t>Minimum number of sample data sets (single season)</t>
  </si>
  <si>
    <t>Second season sample data sets (if required), or extra sets</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</si>
  <si>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</si>
  <si>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</si>
  <si>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</si>
  <si>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</si>
  <si>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</si>
  <si>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</si>
  <si>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</si>
  <si>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</si>
  <si>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</si>
  <si>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</si>
  <si>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</si>
  <si>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Name or ID:</t>
  </si>
  <si>
    <t xml:space="preserve">     Site (A, B, C, D):</t>
  </si>
  <si>
    <t xml:space="preserve">    Description:</t>
  </si>
  <si>
    <t xml:space="preserve">    Class (II or III):</t>
  </si>
  <si>
    <t xml:space="preserve">    PM size category:</t>
  </si>
  <si>
    <t># sets</t>
  </si>
  <si>
    <t>Cand</t>
  </si>
  <si>
    <t>Candidate/FRM ratio:</t>
  </si>
  <si>
    <t>Regression statistics</t>
  </si>
  <si>
    <t>Calculation of Precision [53.35(e) and (f)]</t>
  </si>
  <si>
    <t>Upper</t>
  </si>
  <si>
    <t>Lower</t>
  </si>
  <si>
    <t>Candidate mean concentration (C-bar):</t>
  </si>
  <si>
    <t>FRM mean concentration (R-bar):</t>
  </si>
  <si>
    <t xml:space="preserve">Number of valid data sets </t>
  </si>
  <si>
    <t>Additional data sets needed:</t>
  </si>
  <si>
    <t>Number of valid data sets available:</t>
  </si>
  <si>
    <t>valid data sets for this test is:</t>
  </si>
  <si>
    <t xml:space="preserve">The number of </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</si>
  <si>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</si>
  <si>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</si>
  <si>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</si>
  <si>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</si>
  <si>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</si>
  <si>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</si>
  <si>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</si>
  <si>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</si>
  <si>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</si>
  <si>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</si>
  <si>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</si>
  <si>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</si>
  <si>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</si>
  <si>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t>Calculation of Slope, Intercept, and Correlation [53.35(g) and (h)]</t>
  </si>
  <si>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</si>
  <si>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</si>
  <si>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</si>
  <si>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</si>
  <si>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</si>
  <si>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</si>
  <si>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</si>
  <si>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t>Summary</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</si>
  <si>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</si>
  <si>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</si>
  <si>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</si>
  <si>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</si>
  <si>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</si>
  <si>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</si>
  <si>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</si>
  <si>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</si>
  <si>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</si>
  <si>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</si>
  <si>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</si>
  <si>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</si>
  <si>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</si>
  <si>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</si>
  <si>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</si>
  <si>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</si>
  <si>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</si>
  <si>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</si>
  <si>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</si>
  <si>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</si>
  <si>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</si>
  <si>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</si>
  <si>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</si>
  <si>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</si>
  <si>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</si>
  <si>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</si>
  <si>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</si>
  <si>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</si>
  <si>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</si>
  <si>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</si>
  <si>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</si>
  <si>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</si>
  <si>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</si>
  <si>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</si>
  <si>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</si>
  <si>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</si>
  <si>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</si>
  <si>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</si>
  <si>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</si>
  <si>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</si>
  <si>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</si>
  <si>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</si>
  <si>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</si>
  <si>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</si>
  <si>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</si>
  <si>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</si>
  <si>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</si>
  <si>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</si>
  <si>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t>
    </r>
    <r>
      <rPr>
        <sz val="10"/>
        <rFont val="Arial"/>
        <family val="0"/>
      </rPr>
      <t>Title 40, Part 53 of the Code of Federal Regulations, revised December 18, 2006 (</t>
    </r>
    <r>
      <rPr>
        <i/>
        <sz val="10"/>
        <rFont val="Arial"/>
        <family val="2"/>
      </rPr>
      <t>Federal Register</t>
    </r>
    <r>
      <rPr>
        <sz val="10"/>
        <rFont val="Arial"/>
        <family val="0"/>
      </rPr>
      <t>, Volume 71, page 61271, October 17, 2006).</t>
    </r>
  </si>
  <si>
    <r>
      <t>CCV</t>
    </r>
    <r>
      <rPr>
        <sz val="10"/>
        <rFont val="Arial"/>
        <family val="0"/>
      </rPr>
      <t xml:space="preserve"> (FRM):</t>
    </r>
  </si>
  <si>
    <t>Number of valid data sets:</t>
  </si>
  <si>
    <t>Brief Instructions:</t>
  </si>
  <si>
    <t xml:space="preserve">     Applicant contact:</t>
  </si>
  <si>
    <t>▼More complete instructions</t>
  </si>
  <si>
    <t>Calculations for the intercept limits graphic:</t>
  </si>
  <si>
    <t>Instructions</t>
  </si>
  <si>
    <r>
      <t xml:space="preserve">   This suite of spreadsheets is intended for entering and analyzing field test data obtained from the Comparability tests required for Class II or III candidate equivalent methods for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xml:space="preserve">, according to new regulatory provisions of 40 CFR Part 53 that became effective on December 18, 2006.  (See Section 53.35 of Part 53, Subpart C (U.S. </t>
    </r>
    <r>
      <rPr>
        <i/>
        <sz val="10"/>
        <rFont val="Arial"/>
        <family val="2"/>
      </rPr>
      <t>Federal Register</t>
    </r>
    <r>
      <rPr>
        <sz val="10"/>
        <rFont val="Arial"/>
        <family val="0"/>
      </rPr>
      <t>, Volume 71, October 17, 2006, page 61278).</t>
    </r>
  </si>
  <si>
    <r>
      <t>2.  The test data should be in the form of daily "data sets" consisting of 22-25 hour integrated ambient PM concentration measurements, each set containing nominally 3 FRM (FRM subset) and 3 candidate FEM (FEM subset) measurements, in μg/m</t>
    </r>
    <r>
      <rPr>
        <vertAlign val="superscript"/>
        <sz val="10"/>
        <rFont val="Arial"/>
        <family val="2"/>
      </rPr>
      <t>3</t>
    </r>
    <r>
      <rPr>
        <sz val="10"/>
        <rFont val="Arial"/>
        <family val="0"/>
      </rPr>
      <t>.</t>
    </r>
  </si>
  <si>
    <r>
      <t>3. Enter the FRM data first, at the "</t>
    </r>
    <r>
      <rPr>
        <b/>
        <sz val="10"/>
        <rFont val="Arial"/>
        <family val="2"/>
      </rPr>
      <t>Raw FRM data</t>
    </r>
    <r>
      <rPr>
        <sz val="10"/>
        <rFont val="Arial"/>
        <family val="0"/>
      </rPr>
      <t>" tab, because the test dates associated with each data set are entered with the FRM data.  When entering the data, the first measurement of the subset will be identified as "</t>
    </r>
    <r>
      <rPr>
        <sz val="10"/>
        <color indexed="10"/>
        <rFont val="Arial"/>
        <family val="2"/>
      </rPr>
      <t>not valid</t>
    </r>
    <r>
      <rPr>
        <sz val="10"/>
        <rFont val="Arial"/>
        <family val="0"/>
      </rPr>
      <t>" because at least 2 measurements are required for a valid data set; the "</t>
    </r>
    <r>
      <rPr>
        <sz val="10"/>
        <color indexed="10"/>
        <rFont val="Arial"/>
        <family val="2"/>
      </rPr>
      <t>not valid</t>
    </r>
    <r>
      <rPr>
        <sz val="10"/>
        <rFont val="Arial"/>
        <family val="0"/>
      </rPr>
      <t>" indication will normally disappear upon entering the second measurement of the data subset.  Use the Comments column to enter any possibly pertinent information about any of the measurements in the data subset.</t>
    </r>
  </si>
  <si>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</si>
  <si>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r>
      <t xml:space="preserve"> </t>
    </r>
    <r>
      <rPr>
        <b/>
        <u val="single"/>
        <sz val="19"/>
        <rFont val="Arial"/>
        <family val="2"/>
      </rPr>
      <t>EPA Equivalent Method Designation Application</t>
    </r>
  </si>
  <si>
    <t xml:space="preserve">Date </t>
  </si>
  <si>
    <t xml:space="preserve">Validity </t>
  </si>
  <si>
    <t>Extra sample data sets</t>
  </si>
  <si>
    <t>Comments regarding candidate data set</t>
  </si>
  <si>
    <r>
      <t>4. For each FRM data subset entered, the data are automatically checked according to the prescribed outlier test, and the mean and precision are calculated.  If the data set fails to meet one or more of the prescribed validity requirements, the data subset will be identified as "</t>
    </r>
    <r>
      <rPr>
        <sz val="10"/>
        <color indexed="10"/>
        <rFont val="Arial"/>
        <family val="2"/>
      </rPr>
      <t>not valid</t>
    </r>
    <r>
      <rPr>
        <sz val="10"/>
        <rFont val="Arial"/>
        <family val="0"/>
      </rPr>
      <t>."  Do not delete these invalid data sets on this "Raw FRM data" tab as these invalid data sets will be filtered out in other tabs.  If any FRM data subset is determined to be invalid due to a known physical cause, change the "</t>
    </r>
    <r>
      <rPr>
        <b/>
        <sz val="10"/>
        <rFont val="Arial"/>
        <family val="2"/>
      </rPr>
      <t>ok</t>
    </r>
    <r>
      <rPr>
        <sz val="10"/>
        <rFont val="Arial"/>
        <family val="0"/>
      </rPr>
      <t>" in the "</t>
    </r>
    <r>
      <rPr>
        <b/>
        <sz val="10"/>
        <rFont val="Arial"/>
        <family val="2"/>
      </rPr>
      <t>FRM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column.</t>
    </r>
  </si>
  <si>
    <t>PM2.5</t>
  </si>
  <si>
    <t>III</t>
  </si>
  <si>
    <t>ACME Model XYZ123 Air monitor</t>
  </si>
  <si>
    <t>C</t>
  </si>
  <si>
    <t>St. Louis test site</t>
  </si>
  <si>
    <t>Example</t>
  </si>
  <si>
    <r>
      <t>Version 0.42 - 5/2/07</t>
    </r>
    <r>
      <rPr>
        <sz val="10"/>
        <rFont val="Arial"/>
        <family val="2"/>
      </rPr>
      <t xml:space="preserve">  F. McElroy, RTI International; T. Hanley, EPA</t>
    </r>
  </si>
  <si>
    <r>
      <t xml:space="preserve">5. The Raw FRM data tab allows for entry of up to </t>
    </r>
    <r>
      <rPr>
        <b/>
        <sz val="10"/>
        <rFont val="Arial"/>
        <family val="2"/>
      </rPr>
      <t>70</t>
    </r>
    <r>
      <rPr>
        <sz val="10"/>
        <rFont val="Arial"/>
        <family val="0"/>
      </rPr>
      <t xml:space="preserve"> data sets to accommodate data from both summer and winter test seasons, if applicable, as well as some extra data sets over the minimum required, if needed.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only are calculated correctly in other tabs.</t>
    </r>
  </si>
  <si>
    <r>
      <t>6. Similarly, enter the candidate FEM data at the "</t>
    </r>
    <r>
      <rPr>
        <b/>
        <sz val="10"/>
        <rFont val="Arial"/>
        <family val="2"/>
      </rPr>
      <t>Raw candidate data</t>
    </r>
    <r>
      <rPr>
        <sz val="10"/>
        <rFont val="Arial"/>
        <family val="0"/>
      </rPr>
      <t>" tab for the corresponding test dates.  Although the outlier tests will check the data, this outlier test is not applicable to candidate data, so the outlier test results are ignored.  If the candidate data subset fails to meet one or more of the validity requirements, the data subset will be identified as "not valid."  Do not delete these invalid data sets on this "Raw candidate data" tab as these invalid data sets will be filtered out in other tabs.  If any candidate method data subset is determined to be invalid due to a known physical cause, change the "</t>
    </r>
    <r>
      <rPr>
        <b/>
        <sz val="10"/>
        <rFont val="Arial"/>
        <family val="2"/>
      </rPr>
      <t>ok</t>
    </r>
    <r>
      <rPr>
        <sz val="10"/>
        <rFont val="Arial"/>
        <family val="0"/>
      </rPr>
      <t>" in the "</t>
    </r>
    <r>
      <rPr>
        <b/>
        <sz val="10"/>
        <rFont val="Arial"/>
        <family val="2"/>
      </rPr>
      <t>Cand.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xml:space="preserve">" column.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sets only are calculated correctly in other tabs.</t>
    </r>
  </si>
  <si>
    <r>
      <t>8. The required linear regression calculations are carried out in the "</t>
    </r>
    <r>
      <rPr>
        <b/>
        <sz val="10"/>
        <rFont val="Arial"/>
        <family val="2"/>
      </rPr>
      <t>Regression</t>
    </r>
    <r>
      <rPr>
        <sz val="10"/>
        <rFont val="Arial"/>
        <family val="0"/>
      </rPr>
      <t>" tab.  Invalid data sets are automatically excluded from the regression calculations.  If desired, the invalid data sets and blank cells may be hidden by using the data filter - follow the instructions in the red box in the upper right of the sheet.</t>
    </r>
  </si>
  <si>
    <r>
      <t>7. The mean concentrations for both FRM and candidate FEM methods for each data set are presented in the "</t>
    </r>
    <r>
      <rPr>
        <b/>
        <sz val="10"/>
        <rFont val="Arial"/>
        <family val="2"/>
      </rPr>
      <t>Precision</t>
    </r>
    <r>
      <rPr>
        <sz val="10"/>
        <rFont val="Arial"/>
        <family val="0"/>
      </rPr>
      <t>" tab, along with both the absolute precision (μg/m3) and relative precision (</t>
    </r>
    <r>
      <rPr>
        <b/>
        <sz val="10"/>
        <rFont val="Arial"/>
        <family val="2"/>
      </rPr>
      <t>CV</t>
    </r>
    <r>
      <rPr>
        <sz val="10"/>
        <rFont val="Arial"/>
        <family val="0"/>
      </rPr>
      <t xml:space="preserve">), with the later precision being the relevant one for purposes of the test results. </t>
    </r>
    <r>
      <rPr>
        <b/>
        <sz val="10"/>
        <rFont val="Arial"/>
        <family val="2"/>
      </rPr>
      <t xml:space="preserve"> </t>
    </r>
    <r>
      <rPr>
        <sz val="10"/>
        <rFont val="Arial"/>
        <family val="2"/>
      </rPr>
      <t>Invalid data sets are automatically excluded from the precision calculations.  If desired, the invalid data and blank cells may be hidden by using the data filter - follow the instructions in the red box in the upper right corner of the sheet.</t>
    </r>
  </si>
  <si>
    <r>
      <t xml:space="preserve">9. If new data are entered after filtering out the invalid data sets and blank cells,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filter out the invalid data sets.</t>
    </r>
  </si>
  <si>
    <r>
      <t>10. All required data calculations for the FEM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t>
    </r>
  </si>
  <si>
    <r>
      <t>1.  Enter applicant, candidate method, and site identification information in the "</t>
    </r>
    <r>
      <rPr>
        <b/>
        <sz val="10"/>
        <rFont val="Arial"/>
        <family val="2"/>
      </rPr>
      <t>Title</t>
    </r>
    <r>
      <rPr>
        <sz val="10"/>
        <rFont val="Arial"/>
        <family val="0"/>
      </rPr>
      <t xml:space="preserve">" tab.  It is </t>
    </r>
    <r>
      <rPr>
        <b/>
        <sz val="10"/>
        <rFont val="Arial"/>
        <family val="2"/>
      </rPr>
      <t>very important</t>
    </r>
    <r>
      <rPr>
        <sz val="10"/>
        <rFont val="Arial"/>
        <family val="0"/>
      </rPr>
      <t xml:space="preserve"> to properly identify the PM type (i.e.,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and the site category (A, B, C, or D) because this information is used to determine some of the pass-fail criteria for certain tests.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</si>
</sst>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9">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sz val="10"/>
      <color indexed="12"/>
      <name val="Arial"/>
      <family val="0"/>
    </font>
    <font>
      <b/>
      <u val="single"/>
      <sz val="10"/>
      <name val="Arial"/>
      <family val="0"/>
    </font>
    <font>
      <vertAlign val="superscript"/>
      <sz val="8"/>
      <name val="Tahoma"/>
      <family val="2"/>
    </font>
    <font>
      <sz val="8"/>
      <color indexed="10"/>
      <name val="Tahoma"/>
      <family val="2"/>
    </font>
    <font>
      <vertAlign val="subscript"/>
      <sz val="8"/>
      <name val="Tahoma"/>
      <family val="2"/>
    </font>
    <font>
      <sz val="10"/>
      <name val="Tahoma"/>
      <family val="2"/>
    </font>
    <font>
      <vertAlign val="subscript"/>
      <sz val="10"/>
      <name val="Tahoma"/>
      <family val="2"/>
    </font>
    <font>
      <b/>
      <i/>
      <sz val="8"/>
      <name val="Tahoma"/>
      <family val="2"/>
    </font>
    <font>
      <b/>
      <vertAlign val="superscript"/>
      <sz val="18"/>
      <name val="Arial"/>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sz val="10"/>
      <color indexed="10"/>
      <name val="Arial"/>
      <family val="2"/>
    </font>
    <font>
      <b/>
      <vertAlign val="subscript"/>
      <sz val="18"/>
      <name val="Arial"/>
      <family val="2"/>
    </font>
    <font>
      <b/>
      <u val="single"/>
      <sz val="19"/>
      <name val="Arial"/>
      <family val="2"/>
    </font>
    <font>
      <b/>
      <sz val="19"/>
      <name val="Arial"/>
      <family val="2"/>
    </font>
  </fonts>
  <fills count="17">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s>
  <borders count="16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style="thick"/>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ck"/>
      <right>
        <color indexed="63"/>
      </right>
      <top>
        <color indexed="63"/>
      </top>
      <bottom style="medium"/>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thin"/>
      <bottom style="medium"/>
    </border>
    <border>
      <left style="medium"/>
      <right style="thin"/>
      <top style="thin"/>
      <bottom style="thick"/>
    </border>
    <border>
      <left style="thin"/>
      <right style="medium"/>
      <top style="thin"/>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style="medium"/>
      <right style="medium"/>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ck"/>
      <bottom>
        <color indexed="63"/>
      </bottom>
    </border>
    <border>
      <left style="thin"/>
      <right>
        <color indexed="63"/>
      </right>
      <top>
        <color indexed="63"/>
      </top>
      <bottom style="thick"/>
    </border>
    <border>
      <left style="thick"/>
      <right>
        <color indexed="63"/>
      </right>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style="medium"/>
      <right style="medium"/>
      <top style="thin"/>
      <bottom style="thin"/>
    </border>
    <border>
      <left style="thin"/>
      <right style="medium"/>
      <top style="thick"/>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style="thick"/>
    </border>
    <border>
      <left style="medium"/>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ck"/>
    </border>
    <border>
      <left>
        <color indexed="63"/>
      </left>
      <right style="thin"/>
      <top style="medium"/>
      <bottom style="thin"/>
    </border>
    <border>
      <left style="thin"/>
      <right style="thin"/>
      <top style="thin"/>
      <bottom>
        <color indexed="63"/>
      </bottom>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hair"/>
      <top style="hair"/>
      <bottom style="thick"/>
    </border>
    <border>
      <left style="hair"/>
      <right style="hair"/>
      <top style="hair"/>
      <bottom style="thick"/>
    </border>
    <border>
      <left style="hair"/>
      <right style="thin"/>
      <top style="hair"/>
      <bottom style="thick"/>
    </border>
    <border>
      <left style="medium"/>
      <right>
        <color indexed="63"/>
      </right>
      <top>
        <color indexed="63"/>
      </top>
      <bottom style="hair"/>
    </border>
    <border>
      <left>
        <color indexed="63"/>
      </left>
      <right style="thin"/>
      <top style="thick"/>
      <bottom>
        <color indexed="63"/>
      </bottom>
    </border>
    <border>
      <left>
        <color indexed="63"/>
      </left>
      <right style="thin"/>
      <top>
        <color indexed="63"/>
      </top>
      <bottom style="medium"/>
    </border>
    <border>
      <left style="thin"/>
      <right style="medium"/>
      <top>
        <color indexed="63"/>
      </top>
      <bottom style="thick"/>
    </border>
    <border>
      <left>
        <color indexed="63"/>
      </left>
      <right style="thin"/>
      <top>
        <color indexed="63"/>
      </top>
      <bottom style="thick"/>
    </border>
    <border>
      <left>
        <color indexed="63"/>
      </left>
      <right>
        <color indexed="63"/>
      </right>
      <top>
        <color indexed="63"/>
      </top>
      <bottom style="hair"/>
    </border>
    <border>
      <left>
        <color indexed="63"/>
      </left>
      <right style="medium"/>
      <top>
        <color indexed="63"/>
      </top>
      <bottom style="hair"/>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color indexed="63"/>
      </top>
      <bottom style="thick"/>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color indexed="63"/>
      </left>
      <right style="thick"/>
      <top>
        <color indexed="63"/>
      </top>
      <bottom style="thin"/>
    </border>
    <border>
      <left>
        <color indexed="63"/>
      </left>
      <right style="thick"/>
      <top style="thin"/>
      <bottom>
        <color indexed="63"/>
      </botto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0">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10" xfId="0" applyFill="1" applyBorder="1" applyAlignment="1">
      <alignment horizontal="centerContinuous"/>
    </xf>
    <xf numFmtId="0" fontId="0" fillId="3" borderId="11" xfId="0" applyFill="1" applyBorder="1" applyAlignment="1">
      <alignment/>
    </xf>
    <xf numFmtId="0" fontId="0" fillId="3" borderId="0" xfId="0" applyFill="1" applyBorder="1" applyAlignment="1">
      <alignment horizontal="centerContinuous" vertical="center"/>
    </xf>
    <xf numFmtId="0" fontId="0" fillId="3" borderId="12" xfId="0" applyFill="1" applyBorder="1" applyAlignment="1">
      <alignment/>
    </xf>
    <xf numFmtId="0" fontId="0" fillId="3" borderId="13" xfId="0" applyFill="1" applyBorder="1" applyAlignment="1">
      <alignment horizontal="centerContinuous" vertical="center"/>
    </xf>
    <xf numFmtId="0" fontId="0" fillId="3" borderId="14" xfId="0" applyFill="1" applyBorder="1" applyAlignment="1">
      <alignment/>
    </xf>
    <xf numFmtId="0" fontId="0" fillId="0" borderId="0" xfId="0" applyBorder="1" applyAlignment="1">
      <alignment/>
    </xf>
    <xf numFmtId="0" fontId="0" fillId="3" borderId="0" xfId="0" applyFill="1" applyAlignment="1">
      <alignment/>
    </xf>
    <xf numFmtId="0" fontId="0" fillId="4" borderId="15" xfId="0" applyFill="1" applyBorder="1" applyAlignment="1">
      <alignment horizontal="centerContinuous"/>
    </xf>
    <xf numFmtId="0" fontId="0" fillId="4" borderId="16" xfId="0" applyFill="1" applyBorder="1" applyAlignment="1">
      <alignment horizontal="center"/>
    </xf>
    <xf numFmtId="0" fontId="0" fillId="4" borderId="17" xfId="0" applyFill="1" applyBorder="1" applyAlignment="1">
      <alignment horizontal="center"/>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8" fillId="0" borderId="0" xfId="0" applyFont="1" applyAlignment="1">
      <alignment/>
    </xf>
    <xf numFmtId="0" fontId="0" fillId="5" borderId="22" xfId="0" applyFill="1" applyBorder="1" applyAlignment="1">
      <alignment/>
    </xf>
    <xf numFmtId="0" fontId="0" fillId="5" borderId="10" xfId="0" applyFill="1" applyBorder="1" applyAlignment="1">
      <alignment/>
    </xf>
    <xf numFmtId="0" fontId="0" fillId="5" borderId="23" xfId="0" applyFill="1" applyBorder="1" applyAlignment="1">
      <alignment horizontal="center"/>
    </xf>
    <xf numFmtId="0" fontId="0" fillId="5" borderId="24" xfId="0" applyFill="1" applyBorder="1" applyAlignment="1">
      <alignment horizontal="centerContinuous"/>
    </xf>
    <xf numFmtId="0" fontId="0" fillId="5" borderId="15" xfId="0" applyFill="1" applyBorder="1" applyAlignment="1">
      <alignment horizontal="centerContinuous"/>
    </xf>
    <xf numFmtId="0" fontId="0" fillId="5" borderId="25" xfId="0" applyFill="1" applyBorder="1" applyAlignment="1">
      <alignment horizontal="centerContinuous"/>
    </xf>
    <xf numFmtId="0" fontId="3" fillId="5" borderId="10" xfId="0" applyFont="1" applyFill="1" applyBorder="1" applyAlignment="1">
      <alignment horizontal="center"/>
    </xf>
    <xf numFmtId="0" fontId="0" fillId="5" borderId="26" xfId="0" applyFill="1" applyBorder="1" applyAlignment="1">
      <alignment/>
    </xf>
    <xf numFmtId="0" fontId="0" fillId="5" borderId="5" xfId="0" applyFill="1" applyBorder="1" applyAlignment="1">
      <alignment/>
    </xf>
    <xf numFmtId="0" fontId="0" fillId="5" borderId="27"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28" xfId="0" applyFill="1" applyBorder="1" applyAlignment="1">
      <alignment horizontal="center"/>
    </xf>
    <xf numFmtId="0" fontId="3" fillId="5" borderId="5" xfId="0" applyFont="1" applyFill="1" applyBorder="1" applyAlignment="1">
      <alignment horizontal="center"/>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2" fontId="0" fillId="2" borderId="32" xfId="0" applyNumberFormat="1" applyFill="1" applyBorder="1" applyAlignment="1">
      <alignment horizontal="right"/>
    </xf>
    <xf numFmtId="2" fontId="0" fillId="2" borderId="33" xfId="0" applyNumberFormat="1" applyFill="1" applyBorder="1" applyAlignment="1">
      <alignment horizontal="right"/>
    </xf>
    <xf numFmtId="2" fontId="0" fillId="2" borderId="17" xfId="0" applyNumberFormat="1" applyFill="1" applyBorder="1" applyAlignment="1">
      <alignment horizontal="righ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164" fontId="1" fillId="7" borderId="34" xfId="0" applyNumberFormat="1" applyFont="1" applyFill="1" applyBorder="1" applyAlignment="1">
      <alignment/>
    </xf>
    <xf numFmtId="164" fontId="1" fillId="7" borderId="35" xfId="0" applyNumberFormat="1" applyFont="1" applyFill="1" applyBorder="1" applyAlignment="1">
      <alignment/>
    </xf>
    <xf numFmtId="164" fontId="1" fillId="7" borderId="36" xfId="0" applyNumberFormat="1" applyFont="1" applyFill="1" applyBorder="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8" borderId="17" xfId="0" applyFill="1" applyBorder="1" applyAlignment="1">
      <alignment horizontal="center"/>
    </xf>
    <xf numFmtId="0" fontId="0" fillId="8" borderId="16" xfId="0" applyFill="1" applyBorder="1" applyAlignment="1">
      <alignment horizontal="center"/>
    </xf>
    <xf numFmtId="0" fontId="0" fillId="8" borderId="24" xfId="0" applyFill="1" applyBorder="1" applyAlignment="1">
      <alignment/>
    </xf>
    <xf numFmtId="0" fontId="0" fillId="8" borderId="15" xfId="0" applyFill="1" applyBorder="1" applyAlignment="1">
      <alignment/>
    </xf>
    <xf numFmtId="0" fontId="0" fillId="8" borderId="15" xfId="0" applyFill="1" applyBorder="1" applyAlignment="1">
      <alignment horizontal="centerContinuous"/>
    </xf>
    <xf numFmtId="0" fontId="0" fillId="8" borderId="25" xfId="0" applyFill="1" applyBorder="1" applyAlignment="1">
      <alignment horizontal="centerContinuous"/>
    </xf>
    <xf numFmtId="0" fontId="0" fillId="8" borderId="28" xfId="0" applyFill="1" applyBorder="1" applyAlignment="1">
      <alignment horizontal="center"/>
    </xf>
    <xf numFmtId="164" fontId="1" fillId="7" borderId="37" xfId="0" applyNumberFormat="1" applyFont="1" applyFill="1"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0" fontId="0" fillId="7" borderId="17" xfId="0" applyFill="1" applyBorder="1" applyAlignment="1">
      <alignment horizontal="center"/>
    </xf>
    <xf numFmtId="0" fontId="0" fillId="2" borderId="32" xfId="0" applyFill="1" applyBorder="1" applyAlignment="1">
      <alignment/>
    </xf>
    <xf numFmtId="0" fontId="0" fillId="2" borderId="40" xfId="0" applyFill="1" applyBorder="1" applyAlignment="1">
      <alignment/>
    </xf>
    <xf numFmtId="164" fontId="0" fillId="2" borderId="33" xfId="0" applyNumberFormat="1" applyFill="1" applyBorder="1" applyAlignment="1">
      <alignment/>
    </xf>
    <xf numFmtId="164" fontId="0" fillId="2" borderId="41" xfId="0" applyNumberFormat="1" applyFill="1" applyBorder="1" applyAlignment="1">
      <alignment/>
    </xf>
    <xf numFmtId="164" fontId="0" fillId="2" borderId="17" xfId="0" applyNumberFormat="1" applyFill="1" applyBorder="1" applyAlignment="1">
      <alignment/>
    </xf>
    <xf numFmtId="164" fontId="0" fillId="2" borderId="42" xfId="0" applyNumberFormat="1" applyFill="1" applyBorder="1" applyAlignment="1">
      <alignment/>
    </xf>
    <xf numFmtId="164" fontId="0" fillId="2" borderId="0" xfId="0" applyNumberFormat="1" applyFill="1" applyBorder="1" applyAlignment="1">
      <alignment/>
    </xf>
    <xf numFmtId="0" fontId="0" fillId="9" borderId="33" xfId="0" applyFill="1" applyBorder="1" applyAlignment="1">
      <alignment/>
    </xf>
    <xf numFmtId="165" fontId="0" fillId="2" borderId="41" xfId="0" applyNumberFormat="1" applyFill="1" applyBorder="1" applyAlignment="1">
      <alignment/>
    </xf>
    <xf numFmtId="0" fontId="0" fillId="9" borderId="17" xfId="0" applyFill="1" applyBorder="1" applyAlignment="1">
      <alignment/>
    </xf>
    <xf numFmtId="165" fontId="0" fillId="2" borderId="42" xfId="0" applyNumberFormat="1" applyFill="1" applyBorder="1" applyAlignment="1">
      <alignment/>
    </xf>
    <xf numFmtId="0" fontId="3" fillId="10" borderId="29" xfId="0" applyFont="1" applyFill="1" applyBorder="1" applyAlignment="1">
      <alignment/>
    </xf>
    <xf numFmtId="0" fontId="3" fillId="10" borderId="31" xfId="0" applyFont="1" applyFill="1" applyBorder="1" applyAlignment="1">
      <alignment/>
    </xf>
    <xf numFmtId="0" fontId="0" fillId="10" borderId="30" xfId="0" applyFont="1" applyFill="1" applyBorder="1" applyAlignment="1">
      <alignmen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xf>
    <xf numFmtId="0" fontId="0" fillId="0" borderId="12" xfId="0" applyBorder="1" applyAlignment="1">
      <alignment/>
    </xf>
    <xf numFmtId="164" fontId="1" fillId="7" borderId="46" xfId="0" applyNumberFormat="1" applyFont="1" applyFill="1" applyBorder="1" applyAlignment="1">
      <alignment/>
    </xf>
    <xf numFmtId="164" fontId="1" fillId="7" borderId="47" xfId="0" applyNumberFormat="1" applyFont="1" applyFill="1" applyBorder="1" applyAlignment="1">
      <alignment/>
    </xf>
    <xf numFmtId="164" fontId="1" fillId="7" borderId="48" xfId="0" applyNumberFormat="1" applyFont="1" applyFill="1" applyBorder="1" applyAlignment="1">
      <alignment/>
    </xf>
    <xf numFmtId="0" fontId="0" fillId="7" borderId="49" xfId="0" applyFill="1" applyBorder="1" applyAlignment="1">
      <alignment horizontal="center"/>
    </xf>
    <xf numFmtId="2" fontId="0" fillId="2" borderId="49" xfId="0" applyNumberFormat="1" applyFill="1" applyBorder="1" applyAlignment="1">
      <alignment horizontal="right"/>
    </xf>
    <xf numFmtId="0" fontId="0" fillId="4" borderId="50" xfId="0" applyFill="1" applyBorder="1" applyAlignment="1">
      <alignment/>
    </xf>
    <xf numFmtId="0" fontId="0" fillId="4" borderId="32" xfId="0" applyFill="1" applyBorder="1" applyAlignment="1">
      <alignment/>
    </xf>
    <xf numFmtId="164" fontId="0" fillId="4" borderId="33" xfId="0" applyNumberFormat="1" applyFill="1" applyBorder="1" applyAlignment="1">
      <alignment/>
    </xf>
    <xf numFmtId="164" fontId="3" fillId="4" borderId="17" xfId="0" applyNumberFormat="1" applyFont="1" applyFill="1" applyBorder="1" applyAlignment="1">
      <alignment/>
    </xf>
    <xf numFmtId="0" fontId="0" fillId="4" borderId="24" xfId="0" applyFill="1" applyBorder="1" applyAlignment="1">
      <alignment horizontal="centerContinuous"/>
    </xf>
    <xf numFmtId="0" fontId="0" fillId="5" borderId="51" xfId="0" applyFill="1" applyBorder="1" applyAlignment="1">
      <alignment horizontal="centerContinuous"/>
    </xf>
    <xf numFmtId="0" fontId="0" fillId="5" borderId="42" xfId="0" applyFill="1" applyBorder="1" applyAlignment="1">
      <alignment horizontal="center"/>
    </xf>
    <xf numFmtId="164" fontId="10" fillId="11" borderId="32" xfId="0" applyNumberFormat="1" applyFont="1" applyFill="1" applyBorder="1" applyAlignment="1" applyProtection="1">
      <alignment horizontal="right"/>
      <protection locked="0"/>
    </xf>
    <xf numFmtId="167" fontId="10" fillId="11" borderId="32" xfId="0" applyNumberFormat="1" applyFont="1" applyFill="1" applyBorder="1" applyAlignment="1" applyProtection="1">
      <alignment/>
      <protection locked="0"/>
    </xf>
    <xf numFmtId="167" fontId="10" fillId="11" borderId="33" xfId="0" applyNumberFormat="1" applyFont="1" applyFill="1" applyBorder="1" applyAlignment="1" applyProtection="1">
      <alignment/>
      <protection locked="0"/>
    </xf>
    <xf numFmtId="164" fontId="10" fillId="11" borderId="33" xfId="0" applyNumberFormat="1" applyFont="1" applyFill="1" applyBorder="1" applyAlignment="1" applyProtection="1">
      <alignment horizontal="right"/>
      <protection locked="0"/>
    </xf>
    <xf numFmtId="167" fontId="10" fillId="11" borderId="17" xfId="0" applyNumberFormat="1" applyFont="1" applyFill="1" applyBorder="1" applyAlignment="1" applyProtection="1">
      <alignment/>
      <protection locked="0"/>
    </xf>
    <xf numFmtId="164" fontId="10" fillId="11" borderId="17" xfId="0" applyNumberFormat="1" applyFont="1" applyFill="1" applyBorder="1" applyAlignment="1" applyProtection="1">
      <alignment horizontal="right"/>
      <protection locked="0"/>
    </xf>
    <xf numFmtId="167" fontId="10" fillId="11" borderId="49" xfId="0" applyNumberFormat="1" applyFont="1" applyFill="1" applyBorder="1" applyAlignment="1" applyProtection="1">
      <alignment/>
      <protection locked="0"/>
    </xf>
    <xf numFmtId="164" fontId="10" fillId="11" borderId="49" xfId="0" applyNumberFormat="1" applyFont="1" applyFill="1" applyBorder="1" applyAlignment="1" applyProtection="1">
      <alignment horizontal="right"/>
      <protection locked="0"/>
    </xf>
    <xf numFmtId="167" fontId="10" fillId="11" borderId="52" xfId="0" applyNumberFormat="1" applyFont="1" applyFill="1" applyBorder="1" applyAlignment="1" applyProtection="1">
      <alignment/>
      <protection locked="0"/>
    </xf>
    <xf numFmtId="164" fontId="10" fillId="11" borderId="40" xfId="0" applyNumberFormat="1" applyFont="1" applyFill="1" applyBorder="1" applyAlignment="1" applyProtection="1">
      <alignment horizontal="right"/>
      <protection locked="0"/>
    </xf>
    <xf numFmtId="164" fontId="10" fillId="11" borderId="41" xfId="0" applyNumberFormat="1" applyFont="1" applyFill="1" applyBorder="1" applyAlignment="1" applyProtection="1">
      <alignment horizontal="right"/>
      <protection locked="0"/>
    </xf>
    <xf numFmtId="164" fontId="10" fillId="11" borderId="42" xfId="0" applyNumberFormat="1" applyFont="1" applyFill="1" applyBorder="1" applyAlignment="1" applyProtection="1">
      <alignment horizontal="right"/>
      <protection locked="0"/>
    </xf>
    <xf numFmtId="164" fontId="10" fillId="11" borderId="53" xfId="0" applyNumberFormat="1" applyFont="1" applyFill="1" applyBorder="1" applyAlignment="1" applyProtection="1">
      <alignment horizontal="right"/>
      <protection locked="0"/>
    </xf>
    <xf numFmtId="0" fontId="0" fillId="5" borderId="54" xfId="0" applyFill="1" applyBorder="1" applyAlignment="1">
      <alignment horizontal="center"/>
    </xf>
    <xf numFmtId="0" fontId="0" fillId="5" borderId="55" xfId="0" applyFill="1" applyBorder="1" applyAlignment="1">
      <alignment horizontal="center"/>
    </xf>
    <xf numFmtId="0" fontId="0" fillId="5" borderId="56" xfId="0" applyFill="1" applyBorder="1" applyAlignment="1">
      <alignment horizontal="center"/>
    </xf>
    <xf numFmtId="0" fontId="11" fillId="11" borderId="57" xfId="0" applyFont="1" applyFill="1" applyBorder="1" applyAlignment="1" applyProtection="1">
      <alignment/>
      <protection locked="0"/>
    </xf>
    <xf numFmtId="0" fontId="11" fillId="11" borderId="58" xfId="0" applyFont="1" applyFill="1" applyBorder="1" applyAlignment="1" applyProtection="1">
      <alignment/>
      <protection locked="0"/>
    </xf>
    <xf numFmtId="0" fontId="11" fillId="11" borderId="59" xfId="0" applyFont="1" applyFill="1" applyBorder="1" applyAlignment="1" applyProtection="1">
      <alignment/>
      <protection locked="0"/>
    </xf>
    <xf numFmtId="0" fontId="0" fillId="5" borderId="10" xfId="0" applyFill="1" applyBorder="1" applyAlignment="1">
      <alignment horizontal="center"/>
    </xf>
    <xf numFmtId="0" fontId="0" fillId="5" borderId="60" xfId="0" applyFill="1" applyBorder="1" applyAlignment="1">
      <alignment/>
    </xf>
    <xf numFmtId="0" fontId="0" fillId="2" borderId="61" xfId="0" applyFill="1" applyBorder="1" applyAlignment="1">
      <alignment horizontal="center"/>
    </xf>
    <xf numFmtId="0" fontId="11" fillId="11" borderId="62" xfId="0" applyFont="1" applyFill="1" applyBorder="1" applyAlignment="1" applyProtection="1">
      <alignment/>
      <protection locked="0"/>
    </xf>
    <xf numFmtId="0" fontId="0" fillId="2" borderId="63" xfId="0" applyFill="1" applyBorder="1" applyAlignment="1">
      <alignment horizontal="center"/>
    </xf>
    <xf numFmtId="164" fontId="10" fillId="11" borderId="52" xfId="0" applyNumberFormat="1" applyFont="1" applyFill="1" applyBorder="1" applyAlignment="1" applyProtection="1">
      <alignment horizontal="right"/>
      <protection locked="0"/>
    </xf>
    <xf numFmtId="164" fontId="10" fillId="11" borderId="64" xfId="0" applyNumberFormat="1" applyFont="1" applyFill="1" applyBorder="1" applyAlignment="1" applyProtection="1">
      <alignment horizontal="right"/>
      <protection locked="0"/>
    </xf>
    <xf numFmtId="2" fontId="0" fillId="2" borderId="52" xfId="0" applyNumberFormat="1" applyFill="1" applyBorder="1" applyAlignment="1">
      <alignment horizontal="right"/>
    </xf>
    <xf numFmtId="0" fontId="0" fillId="6" borderId="60" xfId="0" applyFill="1" applyBorder="1" applyAlignment="1">
      <alignment/>
    </xf>
    <xf numFmtId="0" fontId="0" fillId="6" borderId="56" xfId="0" applyFill="1" applyBorder="1" applyAlignment="1">
      <alignment/>
    </xf>
    <xf numFmtId="0" fontId="11" fillId="11" borderId="65" xfId="0" applyFont="1" applyFill="1" applyBorder="1" applyAlignment="1" applyProtection="1">
      <alignment/>
      <protection locked="0"/>
    </xf>
    <xf numFmtId="0" fontId="0" fillId="2" borderId="66" xfId="0" applyFill="1" applyBorder="1" applyAlignment="1">
      <alignment/>
    </xf>
    <xf numFmtId="167" fontId="0" fillId="2" borderId="32" xfId="0" applyNumberFormat="1" applyFont="1" applyFill="1" applyBorder="1" applyAlignment="1" applyProtection="1">
      <alignment/>
      <protection/>
    </xf>
    <xf numFmtId="167" fontId="0" fillId="2" borderId="33" xfId="0" applyNumberFormat="1" applyFont="1" applyFill="1" applyBorder="1" applyAlignment="1" applyProtection="1">
      <alignment/>
      <protection/>
    </xf>
    <xf numFmtId="167" fontId="0" fillId="2" borderId="17" xfId="0" applyNumberFormat="1" applyFont="1" applyFill="1" applyBorder="1" applyAlignment="1" applyProtection="1">
      <alignment/>
      <protection/>
    </xf>
    <xf numFmtId="167" fontId="0" fillId="2" borderId="49" xfId="0" applyNumberFormat="1" applyFont="1" applyFill="1" applyBorder="1" applyAlignment="1" applyProtection="1">
      <alignment/>
      <protection/>
    </xf>
    <xf numFmtId="167" fontId="0" fillId="2" borderId="52" xfId="0" applyNumberFormat="1" applyFont="1" applyFill="1" applyBorder="1" applyAlignment="1" applyProtection="1">
      <alignment/>
      <protection/>
    </xf>
    <xf numFmtId="2" fontId="0" fillId="2" borderId="67" xfId="0" applyNumberFormat="1" applyFont="1" applyFill="1" applyBorder="1" applyAlignment="1" applyProtection="1">
      <alignment horizontal="right"/>
      <protection/>
    </xf>
    <xf numFmtId="2" fontId="0" fillId="2" borderId="68" xfId="0" applyNumberFormat="1" applyFont="1" applyFill="1" applyBorder="1" applyAlignment="1" applyProtection="1">
      <alignment horizontal="right"/>
      <protection/>
    </xf>
    <xf numFmtId="0" fontId="0" fillId="5" borderId="31" xfId="0" applyFill="1" applyBorder="1" applyAlignment="1">
      <alignment horizontal="center"/>
    </xf>
    <xf numFmtId="164" fontId="0" fillId="2" borderId="67" xfId="0" applyNumberFormat="1" applyFont="1" applyFill="1" applyBorder="1" applyAlignment="1" applyProtection="1">
      <alignment horizontal="right"/>
      <protection/>
    </xf>
    <xf numFmtId="164" fontId="0" fillId="2" borderId="68" xfId="0" applyNumberFormat="1" applyFont="1" applyFill="1" applyBorder="1" applyAlignment="1" applyProtection="1">
      <alignment horizontal="right"/>
      <protection/>
    </xf>
    <xf numFmtId="0" fontId="0" fillId="5" borderId="69" xfId="0" applyFill="1" applyBorder="1" applyAlignment="1">
      <alignment horizontal="centerContinuous"/>
    </xf>
    <xf numFmtId="2" fontId="0" fillId="2" borderId="29" xfId="0" applyNumberFormat="1" applyFont="1" applyFill="1" applyBorder="1" applyAlignment="1" applyProtection="1">
      <alignment horizontal="right"/>
      <protection/>
    </xf>
    <xf numFmtId="2" fontId="0" fillId="2" borderId="30" xfId="0" applyNumberFormat="1" applyFont="1" applyFill="1" applyBorder="1" applyAlignment="1" applyProtection="1">
      <alignment horizontal="right"/>
      <protection/>
    </xf>
    <xf numFmtId="167" fontId="3" fillId="2" borderId="68" xfId="0" applyNumberFormat="1" applyFont="1" applyFill="1" applyBorder="1" applyAlignment="1" applyProtection="1">
      <alignment horizontal="center"/>
      <protection/>
    </xf>
    <xf numFmtId="167" fontId="3" fillId="2" borderId="70" xfId="0" applyNumberFormat="1" applyFont="1" applyFill="1" applyBorder="1" applyAlignment="1" applyProtection="1">
      <alignment horizontal="center"/>
      <protection/>
    </xf>
    <xf numFmtId="164" fontId="0" fillId="2" borderId="70" xfId="0" applyNumberFormat="1" applyFont="1" applyFill="1" applyBorder="1" applyAlignment="1" applyProtection="1">
      <alignment horizontal="right"/>
      <protection/>
    </xf>
    <xf numFmtId="2" fontId="0" fillId="2" borderId="61" xfId="0" applyNumberFormat="1" applyFont="1" applyFill="1" applyBorder="1" applyAlignment="1" applyProtection="1">
      <alignment horizontal="right"/>
      <protection/>
    </xf>
    <xf numFmtId="2" fontId="0" fillId="2" borderId="70" xfId="0" applyNumberFormat="1" applyFont="1" applyFill="1" applyBorder="1" applyAlignment="1" applyProtection="1">
      <alignment horizontal="right"/>
      <protection/>
    </xf>
    <xf numFmtId="164" fontId="0" fillId="2" borderId="28" xfId="0" applyNumberFormat="1" applyFont="1" applyFill="1" applyBorder="1" applyAlignment="1" applyProtection="1">
      <alignment horizontal="right"/>
      <protection/>
    </xf>
    <xf numFmtId="2" fontId="0" fillId="2" borderId="31"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167" fontId="3" fillId="2" borderId="42" xfId="0" applyNumberFormat="1" applyFont="1" applyFill="1" applyBorder="1" applyAlignment="1" applyProtection="1">
      <alignment horizontal="center"/>
      <protection/>
    </xf>
    <xf numFmtId="0" fontId="0" fillId="3" borderId="0" xfId="0" applyFill="1" applyBorder="1" applyAlignment="1">
      <alignment horizontal="right"/>
    </xf>
    <xf numFmtId="0" fontId="0" fillId="3" borderId="71" xfId="0" applyFill="1" applyBorder="1" applyAlignment="1">
      <alignment horizontal="right"/>
    </xf>
    <xf numFmtId="0" fontId="0" fillId="3" borderId="66" xfId="0" applyFill="1" applyBorder="1" applyAlignment="1">
      <alignment/>
    </xf>
    <xf numFmtId="0" fontId="0" fillId="5" borderId="72"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73" xfId="0" applyFill="1" applyBorder="1" applyAlignment="1">
      <alignment/>
    </xf>
    <xf numFmtId="0" fontId="0" fillId="2" borderId="74" xfId="0" applyFill="1" applyBorder="1" applyAlignment="1">
      <alignment/>
    </xf>
    <xf numFmtId="0" fontId="0" fillId="2" borderId="12" xfId="0" applyFill="1" applyBorder="1" applyAlignment="1">
      <alignment/>
    </xf>
    <xf numFmtId="164" fontId="0" fillId="2" borderId="30" xfId="0" applyNumberFormat="1" applyFill="1" applyBorder="1" applyAlignment="1">
      <alignment/>
    </xf>
    <xf numFmtId="164" fontId="0" fillId="2" borderId="66" xfId="0" applyNumberFormat="1" applyFill="1" applyBorder="1" applyAlignment="1">
      <alignment/>
    </xf>
    <xf numFmtId="165" fontId="0" fillId="2" borderId="30" xfId="0" applyNumberFormat="1" applyFill="1" applyBorder="1" applyAlignment="1">
      <alignment/>
    </xf>
    <xf numFmtId="165" fontId="0" fillId="2" borderId="75" xfId="0" applyNumberFormat="1" applyFill="1" applyBorder="1" applyAlignment="1">
      <alignment/>
    </xf>
    <xf numFmtId="0" fontId="12" fillId="5" borderId="13" xfId="0" applyFont="1" applyFill="1" applyBorder="1" applyAlignment="1">
      <alignment/>
    </xf>
    <xf numFmtId="0" fontId="12" fillId="4" borderId="76" xfId="0" applyFont="1" applyFill="1" applyBorder="1" applyAlignment="1">
      <alignment horizontal="center"/>
    </xf>
    <xf numFmtId="0" fontId="12" fillId="4" borderId="14" xfId="0" applyFont="1" applyFill="1" applyBorder="1" applyAlignment="1">
      <alignment horizontal="center"/>
    </xf>
    <xf numFmtId="164" fontId="0" fillId="2" borderId="77" xfId="0" applyNumberFormat="1" applyFill="1" applyBorder="1" applyAlignment="1">
      <alignment/>
    </xf>
    <xf numFmtId="164" fontId="0" fillId="2" borderId="7" xfId="0" applyNumberFormat="1" applyFill="1" applyBorder="1" applyAlignment="1">
      <alignment/>
    </xf>
    <xf numFmtId="165" fontId="0" fillId="2" borderId="77" xfId="0" applyNumberFormat="1" applyFill="1" applyBorder="1" applyAlignment="1">
      <alignment/>
    </xf>
    <xf numFmtId="165" fontId="0" fillId="2" borderId="12" xfId="0" applyNumberFormat="1" applyFill="1" applyBorder="1" applyAlignment="1">
      <alignment/>
    </xf>
    <xf numFmtId="0" fontId="0" fillId="3" borderId="78" xfId="0" applyFill="1" applyBorder="1" applyAlignment="1">
      <alignment horizontal="right"/>
    </xf>
    <xf numFmtId="0" fontId="0" fillId="2" borderId="79" xfId="0" applyFill="1" applyBorder="1" applyAlignment="1">
      <alignment/>
    </xf>
    <xf numFmtId="165" fontId="0" fillId="2" borderId="80" xfId="0" applyNumberFormat="1" applyFill="1" applyBorder="1" applyAlignment="1">
      <alignment/>
    </xf>
    <xf numFmtId="0" fontId="0" fillId="2" borderId="78" xfId="0" applyFill="1" applyBorder="1" applyAlignment="1">
      <alignment/>
    </xf>
    <xf numFmtId="165" fontId="0" fillId="2" borderId="81"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82"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83" xfId="0" applyFill="1" applyBorder="1" applyAlignment="1">
      <alignment/>
    </xf>
    <xf numFmtId="0" fontId="0" fillId="5" borderId="84" xfId="0" applyFill="1" applyBorder="1" applyAlignment="1">
      <alignment/>
    </xf>
    <xf numFmtId="0" fontId="0" fillId="5" borderId="85"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8" xfId="0" applyFill="1" applyBorder="1" applyAlignment="1">
      <alignment/>
    </xf>
    <xf numFmtId="0" fontId="0" fillId="3" borderId="79" xfId="0" applyFill="1" applyBorder="1" applyAlignment="1">
      <alignment horizontal="right"/>
    </xf>
    <xf numFmtId="0" fontId="0" fillId="2" borderId="70" xfId="0" applyNumberFormat="1" applyFont="1" applyFill="1" applyBorder="1" applyAlignment="1" applyProtection="1">
      <alignment horizontal="center"/>
      <protection/>
    </xf>
    <xf numFmtId="0" fontId="0" fillId="2" borderId="52" xfId="0" applyNumberFormat="1" applyFont="1" applyFill="1" applyBorder="1" applyAlignment="1" applyProtection="1">
      <alignment horizontal="center"/>
      <protection/>
    </xf>
    <xf numFmtId="0" fontId="0" fillId="2" borderId="28" xfId="0" applyNumberFormat="1" applyFont="1" applyFill="1" applyBorder="1" applyAlignment="1" applyProtection="1">
      <alignment horizontal="center"/>
      <protection/>
    </xf>
    <xf numFmtId="0" fontId="0" fillId="2" borderId="17" xfId="0" applyNumberFormat="1" applyFont="1" applyFill="1" applyBorder="1" applyAlignment="1" applyProtection="1">
      <alignment horizontal="center"/>
      <protection/>
    </xf>
    <xf numFmtId="0" fontId="0" fillId="6" borderId="18" xfId="0" applyFill="1" applyBorder="1" applyAlignment="1">
      <alignment/>
    </xf>
    <xf numFmtId="0" fontId="0" fillId="6" borderId="66" xfId="0" applyFill="1" applyBorder="1" applyAlignment="1">
      <alignment/>
    </xf>
    <xf numFmtId="165" fontId="0" fillId="6" borderId="41" xfId="0" applyNumberFormat="1" applyFill="1" applyBorder="1" applyAlignment="1">
      <alignment/>
    </xf>
    <xf numFmtId="0" fontId="12" fillId="4" borderId="0" xfId="0" applyFont="1" applyFill="1" applyBorder="1" applyAlignment="1">
      <alignment/>
    </xf>
    <xf numFmtId="170" fontId="12" fillId="4" borderId="49"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6" xfId="0" applyFill="1" applyBorder="1" applyAlignment="1">
      <alignment/>
    </xf>
    <xf numFmtId="170" fontId="0" fillId="6" borderId="42" xfId="0" applyNumberFormat="1" applyFill="1" applyBorder="1" applyAlignment="1">
      <alignment/>
    </xf>
    <xf numFmtId="0" fontId="12" fillId="6" borderId="87" xfId="0" applyFont="1" applyFill="1" applyBorder="1" applyAlignment="1">
      <alignment/>
    </xf>
    <xf numFmtId="0" fontId="12" fillId="6" borderId="88" xfId="0" applyFont="1" applyFill="1" applyBorder="1" applyAlignment="1">
      <alignment/>
    </xf>
    <xf numFmtId="0" fontId="12" fillId="6" borderId="89" xfId="0" applyFont="1" applyFill="1" applyBorder="1" applyAlignment="1">
      <alignment horizontal="center"/>
    </xf>
    <xf numFmtId="0" fontId="12" fillId="4" borderId="90" xfId="0" applyFont="1" applyFill="1" applyBorder="1" applyAlignment="1">
      <alignment/>
    </xf>
    <xf numFmtId="0" fontId="0" fillId="4" borderId="91" xfId="0" applyFill="1" applyBorder="1" applyAlignment="1">
      <alignment/>
    </xf>
    <xf numFmtId="0" fontId="12" fillId="4" borderId="92" xfId="0" applyFont="1" applyFill="1" applyBorder="1" applyAlignment="1">
      <alignment horizontal="right"/>
    </xf>
    <xf numFmtId="0" fontId="12" fillId="4" borderId="52" xfId="0" applyFont="1" applyFill="1" applyBorder="1" applyAlignment="1">
      <alignment horizontal="center"/>
    </xf>
    <xf numFmtId="0" fontId="12" fillId="6" borderId="93" xfId="0" applyFont="1" applyFill="1" applyBorder="1" applyAlignment="1">
      <alignment horizontal="center"/>
    </xf>
    <xf numFmtId="0" fontId="12" fillId="4" borderId="94" xfId="0" applyFont="1" applyFill="1" applyBorder="1" applyAlignment="1">
      <alignment horizontal="center"/>
    </xf>
    <xf numFmtId="169" fontId="12" fillId="4" borderId="95" xfId="0" applyNumberFormat="1" applyFont="1" applyFill="1" applyBorder="1" applyAlignment="1">
      <alignment/>
    </xf>
    <xf numFmtId="169" fontId="15" fillId="4" borderId="96" xfId="0" applyNumberFormat="1" applyFont="1" applyFill="1" applyBorder="1" applyAlignment="1">
      <alignment/>
    </xf>
    <xf numFmtId="0" fontId="0" fillId="5" borderId="70" xfId="0" applyFill="1" applyBorder="1" applyAlignment="1">
      <alignment/>
    </xf>
    <xf numFmtId="0" fontId="0" fillId="5" borderId="97" xfId="0" applyFill="1" applyBorder="1" applyAlignment="1">
      <alignment/>
    </xf>
    <xf numFmtId="0" fontId="0" fillId="5" borderId="98" xfId="0" applyFill="1" applyBorder="1" applyAlignment="1">
      <alignment/>
    </xf>
    <xf numFmtId="0" fontId="0" fillId="6" borderId="22" xfId="0" applyFill="1" applyBorder="1" applyAlignment="1">
      <alignment/>
    </xf>
    <xf numFmtId="0" fontId="0" fillId="6" borderId="10" xfId="0" applyFill="1" applyBorder="1" applyAlignment="1">
      <alignment/>
    </xf>
    <xf numFmtId="0" fontId="0" fillId="5" borderId="99" xfId="0" applyFill="1" applyBorder="1" applyAlignment="1">
      <alignment/>
    </xf>
    <xf numFmtId="0" fontId="0" fillId="6" borderId="13" xfId="0" applyFill="1" applyBorder="1" applyAlignment="1">
      <alignment/>
    </xf>
    <xf numFmtId="0" fontId="0" fillId="5" borderId="13" xfId="0" applyFill="1" applyBorder="1" applyAlignment="1">
      <alignment/>
    </xf>
    <xf numFmtId="0" fontId="0" fillId="5" borderId="100" xfId="0" applyFill="1" applyBorder="1" applyAlignment="1">
      <alignment/>
    </xf>
    <xf numFmtId="0" fontId="3" fillId="6" borderId="101" xfId="0" applyFont="1" applyFill="1" applyBorder="1" applyAlignment="1">
      <alignment/>
    </xf>
    <xf numFmtId="0" fontId="3" fillId="6" borderId="90" xfId="0" applyFont="1" applyFill="1" applyBorder="1" applyAlignment="1">
      <alignment/>
    </xf>
    <xf numFmtId="0" fontId="3" fillId="6" borderId="91" xfId="0" applyFont="1" applyFill="1" applyBorder="1" applyAlignment="1">
      <alignment/>
    </xf>
    <xf numFmtId="0" fontId="0" fillId="6" borderId="83" xfId="0" applyFill="1" applyBorder="1" applyAlignment="1">
      <alignment/>
    </xf>
    <xf numFmtId="0" fontId="0" fillId="0" borderId="102" xfId="0" applyBorder="1" applyAlignment="1">
      <alignment/>
    </xf>
    <xf numFmtId="0" fontId="0" fillId="0" borderId="3" xfId="0" applyBorder="1" applyAlignment="1">
      <alignment/>
    </xf>
    <xf numFmtId="0" fontId="0" fillId="0" borderId="4" xfId="0" applyBorder="1" applyAlignment="1">
      <alignment/>
    </xf>
    <xf numFmtId="0" fontId="0" fillId="0" borderId="32" xfId="0" applyBorder="1" applyAlignment="1">
      <alignment horizontal="center"/>
    </xf>
    <xf numFmtId="0" fontId="0" fillId="0" borderId="40" xfId="0" applyBorder="1" applyAlignment="1">
      <alignment horizontal="center"/>
    </xf>
    <xf numFmtId="170" fontId="0" fillId="0" borderId="7" xfId="0" applyNumberFormat="1" applyBorder="1" applyAlignment="1">
      <alignment/>
    </xf>
    <xf numFmtId="170" fontId="0" fillId="0" borderId="103" xfId="0" applyNumberFormat="1" applyBorder="1" applyAlignment="1">
      <alignment/>
    </xf>
    <xf numFmtId="170" fontId="15" fillId="4" borderId="33" xfId="0" applyNumberFormat="1" applyFont="1" applyFill="1" applyBorder="1" applyAlignment="1">
      <alignment/>
    </xf>
    <xf numFmtId="0" fontId="5" fillId="0" borderId="0" xfId="0" applyFont="1" applyAlignment="1">
      <alignment/>
    </xf>
    <xf numFmtId="0" fontId="15" fillId="12" borderId="96" xfId="0" applyFont="1" applyFill="1" applyBorder="1" applyAlignment="1">
      <alignment horizontal="center"/>
    </xf>
    <xf numFmtId="0" fontId="3" fillId="3" borderId="71" xfId="0" applyFont="1" applyFill="1" applyBorder="1" applyAlignment="1">
      <alignment horizontal="right"/>
    </xf>
    <xf numFmtId="164" fontId="3" fillId="2" borderId="30" xfId="0" applyNumberFormat="1" applyFont="1" applyFill="1" applyBorder="1" applyAlignment="1">
      <alignment/>
    </xf>
    <xf numFmtId="165" fontId="3" fillId="2" borderId="30" xfId="0" applyNumberFormat="1" applyFont="1" applyFill="1" applyBorder="1" applyAlignment="1">
      <alignment/>
    </xf>
    <xf numFmtId="165" fontId="3" fillId="2" borderId="75" xfId="0" applyNumberFormat="1" applyFont="1" applyFill="1" applyBorder="1" applyAlignment="1">
      <alignment/>
    </xf>
    <xf numFmtId="0" fontId="0" fillId="0" borderId="0" xfId="0" applyFill="1" applyAlignment="1">
      <alignment/>
    </xf>
    <xf numFmtId="167" fontId="10" fillId="11" borderId="32" xfId="0" applyNumberFormat="1" applyFont="1" applyFill="1" applyBorder="1" applyAlignment="1" applyProtection="1">
      <alignment/>
      <protection/>
    </xf>
    <xf numFmtId="0" fontId="0" fillId="5" borderId="104" xfId="0" applyFill="1" applyBorder="1" applyAlignment="1">
      <alignment horizontal="center"/>
    </xf>
    <xf numFmtId="167" fontId="10" fillId="11" borderId="33" xfId="0" applyNumberFormat="1" applyFont="1" applyFill="1" applyBorder="1" applyAlignment="1" applyProtection="1">
      <alignment/>
      <protection/>
    </xf>
    <xf numFmtId="167" fontId="10" fillId="11" borderId="17" xfId="0" applyNumberFormat="1" applyFont="1" applyFill="1" applyBorder="1" applyAlignment="1" applyProtection="1">
      <alignment/>
      <protection/>
    </xf>
    <xf numFmtId="167" fontId="10" fillId="11" borderId="52"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105"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106"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33" xfId="0" applyFont="1" applyFill="1" applyBorder="1" applyAlignment="1" applyProtection="1">
      <alignment/>
      <protection locked="0"/>
    </xf>
    <xf numFmtId="0" fontId="2" fillId="11" borderId="49" xfId="0" applyFont="1" applyFill="1" applyBorder="1" applyAlignment="1" applyProtection="1">
      <alignment/>
      <protection locked="0"/>
    </xf>
    <xf numFmtId="0" fontId="0" fillId="11" borderId="49" xfId="0" applyFill="1" applyBorder="1" applyAlignment="1" applyProtection="1">
      <alignment/>
      <protection locked="0"/>
    </xf>
    <xf numFmtId="0" fontId="18" fillId="0" borderId="0" xfId="0" applyFont="1" applyAlignment="1">
      <alignment/>
    </xf>
    <xf numFmtId="0" fontId="0" fillId="5" borderId="107" xfId="0" applyFill="1" applyBorder="1" applyAlignment="1">
      <alignment horizontal="centerContinuous"/>
    </xf>
    <xf numFmtId="0" fontId="0" fillId="5" borderId="108" xfId="0" applyFill="1" applyBorder="1" applyAlignment="1">
      <alignment horizontal="centerContinuous"/>
    </xf>
    <xf numFmtId="0" fontId="0" fillId="3" borderId="83"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8" xfId="0" applyFont="1" applyFill="1" applyBorder="1" applyAlignment="1">
      <alignment/>
    </xf>
    <xf numFmtId="0" fontId="0" fillId="2" borderId="109" xfId="0" applyFont="1" applyFill="1" applyBorder="1" applyAlignment="1">
      <alignment/>
    </xf>
    <xf numFmtId="0" fontId="3" fillId="5" borderId="110" xfId="0" applyFont="1" applyFill="1" applyBorder="1" applyAlignment="1">
      <alignment/>
    </xf>
    <xf numFmtId="0" fontId="3" fillId="5" borderId="111" xfId="0" applyFont="1" applyFill="1" applyBorder="1" applyAlignment="1">
      <alignment/>
    </xf>
    <xf numFmtId="0" fontId="3" fillId="5" borderId="31" xfId="0" applyFont="1" applyFill="1" applyBorder="1" applyAlignment="1">
      <alignment horizontal="center"/>
    </xf>
    <xf numFmtId="0" fontId="3" fillId="5" borderId="112" xfId="0" applyFont="1" applyFill="1" applyBorder="1" applyAlignment="1">
      <alignment horizontal="center"/>
    </xf>
    <xf numFmtId="0" fontId="0" fillId="6" borderId="66" xfId="0" applyFont="1" applyFill="1" applyBorder="1" applyAlignment="1">
      <alignment/>
    </xf>
    <xf numFmtId="0" fontId="0" fillId="6" borderId="68" xfId="0" applyFont="1" applyFill="1" applyBorder="1" applyAlignment="1">
      <alignment/>
    </xf>
    <xf numFmtId="0" fontId="3" fillId="6" borderId="113" xfId="0" applyFont="1" applyFill="1" applyBorder="1" applyAlignment="1">
      <alignment/>
    </xf>
    <xf numFmtId="0" fontId="0" fillId="6" borderId="83" xfId="0" applyFont="1" applyFill="1" applyBorder="1" applyAlignment="1">
      <alignment/>
    </xf>
    <xf numFmtId="0" fontId="0" fillId="6" borderId="70" xfId="0" applyFont="1" applyFill="1" applyBorder="1" applyAlignment="1">
      <alignment/>
    </xf>
    <xf numFmtId="0" fontId="16" fillId="6" borderId="83"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43" xfId="0" applyFont="1" applyFill="1" applyBorder="1" applyAlignment="1">
      <alignment horizontal="center"/>
    </xf>
    <xf numFmtId="0" fontId="3" fillId="6" borderId="114" xfId="0" applyFont="1" applyFill="1" applyBorder="1" applyAlignment="1">
      <alignment horizontal="center"/>
    </xf>
    <xf numFmtId="170" fontId="12" fillId="2" borderId="49" xfId="0" applyNumberFormat="1" applyFont="1" applyFill="1" applyBorder="1" applyAlignment="1">
      <alignment/>
    </xf>
    <xf numFmtId="169" fontId="12" fillId="2" borderId="53" xfId="0" applyNumberFormat="1" applyFont="1" applyFill="1" applyBorder="1" applyAlignment="1">
      <alignment/>
    </xf>
    <xf numFmtId="170" fontId="15" fillId="2" borderId="33" xfId="0" applyNumberFormat="1" applyFont="1" applyFill="1" applyBorder="1" applyAlignment="1">
      <alignment/>
    </xf>
    <xf numFmtId="0" fontId="15" fillId="13" borderId="41" xfId="0" applyFont="1" applyFill="1" applyBorder="1" applyAlignment="1">
      <alignment horizontal="center"/>
    </xf>
    <xf numFmtId="169" fontId="15" fillId="2" borderId="41" xfId="0" applyNumberFormat="1" applyFont="1" applyFill="1" applyBorder="1" applyAlignment="1">
      <alignment/>
    </xf>
    <xf numFmtId="0" fontId="12" fillId="2" borderId="17" xfId="0" applyFont="1" applyFill="1" applyBorder="1" applyAlignment="1">
      <alignment horizontal="center"/>
    </xf>
    <xf numFmtId="0" fontId="12" fillId="2" borderId="42" xfId="0" applyFont="1" applyFill="1" applyBorder="1" applyAlignment="1">
      <alignment horizontal="center"/>
    </xf>
    <xf numFmtId="0" fontId="12" fillId="3" borderId="113" xfId="0" applyFont="1" applyFill="1" applyBorder="1" applyAlignment="1">
      <alignment/>
    </xf>
    <xf numFmtId="0" fontId="12" fillId="3" borderId="83" xfId="0" applyFont="1" applyFill="1" applyBorder="1" applyAlignment="1">
      <alignment/>
    </xf>
    <xf numFmtId="0" fontId="3" fillId="6" borderId="45" xfId="0" applyFont="1" applyFill="1" applyBorder="1" applyAlignment="1">
      <alignment horizontal="center"/>
    </xf>
    <xf numFmtId="170" fontId="12" fillId="2" borderId="61" xfId="0" applyNumberFormat="1" applyFont="1" applyFill="1" applyBorder="1" applyAlignment="1">
      <alignment/>
    </xf>
    <xf numFmtId="170" fontId="15" fillId="2" borderId="30" xfId="0" applyNumberFormat="1" applyFont="1" applyFill="1" applyBorder="1" applyAlignment="1">
      <alignment/>
    </xf>
    <xf numFmtId="0" fontId="12" fillId="2" borderId="31" xfId="0" applyFont="1" applyFill="1" applyBorder="1" applyAlignment="1">
      <alignment horizontal="center"/>
    </xf>
    <xf numFmtId="0" fontId="12" fillId="3" borderId="10" xfId="0" applyFont="1" applyFill="1" applyBorder="1" applyAlignment="1">
      <alignment/>
    </xf>
    <xf numFmtId="165" fontId="12" fillId="2" borderId="115" xfId="0" applyNumberFormat="1" applyFont="1" applyFill="1" applyBorder="1" applyAlignment="1">
      <alignment/>
    </xf>
    <xf numFmtId="165" fontId="12" fillId="2" borderId="11" xfId="0" applyNumberFormat="1" applyFont="1" applyFill="1" applyBorder="1" applyAlignment="1">
      <alignment/>
    </xf>
    <xf numFmtId="165" fontId="15" fillId="2" borderId="116" xfId="0" applyNumberFormat="1" applyFont="1" applyFill="1" applyBorder="1" applyAlignment="1">
      <alignment/>
    </xf>
    <xf numFmtId="165" fontId="15" fillId="2" borderId="75" xfId="0" applyNumberFormat="1" applyFont="1" applyFill="1" applyBorder="1" applyAlignment="1">
      <alignment/>
    </xf>
    <xf numFmtId="0" fontId="12" fillId="3" borderId="82" xfId="0" applyFont="1" applyFill="1" applyBorder="1" applyAlignment="1">
      <alignment/>
    </xf>
    <xf numFmtId="0" fontId="12" fillId="3" borderId="13" xfId="0" applyFont="1" applyFill="1" applyBorder="1" applyAlignment="1">
      <alignment/>
    </xf>
    <xf numFmtId="0" fontId="12" fillId="2" borderId="76" xfId="0" applyFont="1" applyFill="1" applyBorder="1" applyAlignment="1">
      <alignment horizontal="center"/>
    </xf>
    <xf numFmtId="0" fontId="12" fillId="2" borderId="14" xfId="0" applyFont="1" applyFill="1" applyBorder="1" applyAlignment="1">
      <alignment horizontal="center"/>
    </xf>
    <xf numFmtId="0" fontId="0" fillId="11" borderId="117" xfId="0" applyFill="1" applyBorder="1" applyAlignment="1">
      <alignment horizontal="center"/>
    </xf>
    <xf numFmtId="0" fontId="0" fillId="11" borderId="103" xfId="0" applyFill="1" applyBorder="1" applyAlignment="1">
      <alignment horizontal="center"/>
    </xf>
    <xf numFmtId="0" fontId="0" fillId="0" borderId="33" xfId="0" applyBorder="1" applyAlignment="1">
      <alignment/>
    </xf>
    <xf numFmtId="0" fontId="0" fillId="0" borderId="33" xfId="0" applyFill="1" applyBorder="1" applyAlignment="1">
      <alignment/>
    </xf>
    <xf numFmtId="0" fontId="0" fillId="6" borderId="33" xfId="0" applyFill="1" applyBorder="1" applyAlignment="1">
      <alignment/>
    </xf>
    <xf numFmtId="0" fontId="0" fillId="6" borderId="33" xfId="0" applyFill="1" applyBorder="1" applyAlignment="1">
      <alignment horizontal="centerContinuous"/>
    </xf>
    <xf numFmtId="0" fontId="0" fillId="6" borderId="98" xfId="0" applyFill="1" applyBorder="1" applyAlignment="1">
      <alignment horizontal="centerContinuous"/>
    </xf>
    <xf numFmtId="0" fontId="0" fillId="6" borderId="118" xfId="0" applyFill="1" applyBorder="1" applyAlignment="1">
      <alignment horizontal="centerContinuous"/>
    </xf>
    <xf numFmtId="0" fontId="15" fillId="2" borderId="71" xfId="0" applyFont="1" applyFill="1" applyBorder="1" applyAlignment="1">
      <alignment horizontal="right"/>
    </xf>
    <xf numFmtId="0" fontId="16" fillId="2" borderId="119" xfId="0" applyFont="1" applyFill="1" applyBorder="1" applyAlignment="1">
      <alignment horizontal="right"/>
    </xf>
    <xf numFmtId="164" fontId="3" fillId="9" borderId="30" xfId="0" applyNumberFormat="1" applyFont="1" applyFill="1" applyBorder="1" applyAlignment="1">
      <alignment/>
    </xf>
    <xf numFmtId="164" fontId="3" fillId="9" borderId="66" xfId="0" applyNumberFormat="1" applyFont="1" applyFill="1" applyBorder="1" applyAlignment="1">
      <alignment/>
    </xf>
    <xf numFmtId="164" fontId="3" fillId="9" borderId="41" xfId="0" applyNumberFormat="1" applyFont="1" applyFill="1" applyBorder="1" applyAlignment="1">
      <alignment/>
    </xf>
    <xf numFmtId="164" fontId="0" fillId="9" borderId="30" xfId="0" applyNumberFormat="1" applyFill="1" applyBorder="1" applyAlignment="1">
      <alignment/>
    </xf>
    <xf numFmtId="164" fontId="0" fillId="9" borderId="66" xfId="0" applyNumberFormat="1" applyFill="1" applyBorder="1" applyAlignment="1">
      <alignment/>
    </xf>
    <xf numFmtId="164" fontId="0" fillId="9" borderId="41" xfId="0" applyNumberFormat="1" applyFill="1" applyBorder="1" applyAlignment="1">
      <alignment/>
    </xf>
    <xf numFmtId="164" fontId="0" fillId="9" borderId="77" xfId="0" applyNumberFormat="1" applyFill="1" applyBorder="1" applyAlignment="1">
      <alignment/>
    </xf>
    <xf numFmtId="164" fontId="0" fillId="9" borderId="0" xfId="0" applyNumberFormat="1" applyFill="1" applyBorder="1" applyAlignment="1">
      <alignment/>
    </xf>
    <xf numFmtId="164" fontId="0" fillId="9" borderId="7" xfId="0" applyNumberFormat="1" applyFill="1" applyBorder="1" applyAlignment="1">
      <alignment/>
    </xf>
    <xf numFmtId="0" fontId="0" fillId="9" borderId="79" xfId="0" applyFill="1" applyBorder="1" applyAlignment="1">
      <alignment/>
    </xf>
    <xf numFmtId="165" fontId="0" fillId="9" borderId="80" xfId="0" applyNumberFormat="1" applyFill="1" applyBorder="1" applyAlignment="1">
      <alignment/>
    </xf>
    <xf numFmtId="0" fontId="0" fillId="9" borderId="78" xfId="0" applyFill="1" applyBorder="1" applyAlignment="1">
      <alignment/>
    </xf>
    <xf numFmtId="2" fontId="0" fillId="0" borderId="33" xfId="0" applyNumberFormat="1" applyBorder="1" applyAlignment="1">
      <alignment/>
    </xf>
    <xf numFmtId="2" fontId="0" fillId="4" borderId="33"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20" xfId="0" applyFont="1" applyFill="1" applyBorder="1" applyAlignment="1">
      <alignment/>
    </xf>
    <xf numFmtId="0" fontId="16" fillId="6" borderId="50" xfId="0" applyFont="1" applyFill="1" applyBorder="1" applyAlignment="1">
      <alignment/>
    </xf>
    <xf numFmtId="0" fontId="16" fillId="5" borderId="44" xfId="0" applyFont="1" applyFill="1" applyBorder="1" applyAlignment="1">
      <alignment/>
    </xf>
    <xf numFmtId="0" fontId="0" fillId="6" borderId="121" xfId="0" applyFont="1" applyFill="1" applyBorder="1" applyAlignment="1">
      <alignment/>
    </xf>
    <xf numFmtId="0" fontId="3" fillId="0" borderId="0" xfId="0" applyFont="1" applyAlignment="1">
      <alignment/>
    </xf>
    <xf numFmtId="164" fontId="3" fillId="2" borderId="122" xfId="0" applyNumberFormat="1" applyFont="1" applyFill="1" applyBorder="1" applyAlignment="1">
      <alignment/>
    </xf>
    <xf numFmtId="0" fontId="0" fillId="9" borderId="15" xfId="0" applyFill="1" applyBorder="1" applyAlignment="1">
      <alignment horizontal="centerContinuous"/>
    </xf>
    <xf numFmtId="0" fontId="0" fillId="9" borderId="25" xfId="0" applyFill="1" applyBorder="1" applyAlignment="1">
      <alignment horizontal="centerContinuous"/>
    </xf>
    <xf numFmtId="0" fontId="0" fillId="9" borderId="17"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67" xfId="0" applyFill="1" applyBorder="1" applyAlignment="1">
      <alignment horizontal="center"/>
    </xf>
    <xf numFmtId="0" fontId="0" fillId="9" borderId="33" xfId="0" applyFill="1" applyBorder="1" applyAlignment="1">
      <alignment horizontal="center"/>
    </xf>
    <xf numFmtId="0" fontId="0" fillId="9" borderId="68" xfId="0" applyFill="1" applyBorder="1" applyAlignment="1">
      <alignment horizontal="center"/>
    </xf>
    <xf numFmtId="0" fontId="0" fillId="9" borderId="49" xfId="0" applyFill="1" applyBorder="1" applyAlignment="1">
      <alignment horizontal="center"/>
    </xf>
    <xf numFmtId="0" fontId="0" fillId="9" borderId="70" xfId="0" applyFill="1" applyBorder="1" applyAlignment="1">
      <alignment horizontal="center"/>
    </xf>
    <xf numFmtId="0" fontId="0" fillId="9" borderId="52" xfId="0" applyFill="1" applyBorder="1" applyAlignment="1">
      <alignment horizontal="center"/>
    </xf>
    <xf numFmtId="0" fontId="0" fillId="9" borderId="123" xfId="0" applyFill="1" applyBorder="1" applyAlignment="1">
      <alignment horizontal="center"/>
    </xf>
    <xf numFmtId="0" fontId="0" fillId="0" borderId="124" xfId="0" applyBorder="1" applyAlignment="1">
      <alignment/>
    </xf>
    <xf numFmtId="0" fontId="0" fillId="0" borderId="10" xfId="0" applyBorder="1" applyAlignment="1">
      <alignment/>
    </xf>
    <xf numFmtId="165" fontId="15" fillId="4" borderId="116" xfId="0" applyNumberFormat="1" applyFont="1" applyFill="1" applyBorder="1" applyAlignment="1">
      <alignment/>
    </xf>
    <xf numFmtId="165" fontId="15" fillId="4" borderId="75" xfId="0" applyNumberFormat="1" applyFont="1" applyFill="1" applyBorder="1" applyAlignment="1">
      <alignment/>
    </xf>
    <xf numFmtId="0" fontId="12" fillId="3" borderId="22" xfId="0" applyFont="1" applyFill="1" applyBorder="1" applyAlignment="1">
      <alignment/>
    </xf>
    <xf numFmtId="170" fontId="0" fillId="0" borderId="97" xfId="0" applyNumberFormat="1" applyBorder="1" applyAlignment="1">
      <alignment/>
    </xf>
    <xf numFmtId="170" fontId="0" fillId="0" borderId="109" xfId="0" applyNumberFormat="1" applyBorder="1" applyAlignment="1">
      <alignment/>
    </xf>
    <xf numFmtId="170" fontId="0" fillId="0" borderId="125" xfId="0" applyNumberFormat="1" applyBorder="1" applyAlignment="1">
      <alignment/>
    </xf>
    <xf numFmtId="0" fontId="16" fillId="2" borderId="2" xfId="0" applyFont="1" applyFill="1" applyBorder="1" applyAlignment="1">
      <alignment horizontal="right"/>
    </xf>
    <xf numFmtId="0" fontId="16" fillId="5" borderId="126" xfId="0" applyFont="1" applyFill="1" applyBorder="1" applyAlignment="1">
      <alignment/>
    </xf>
    <xf numFmtId="0" fontId="0" fillId="2" borderId="127" xfId="0" applyFont="1" applyFill="1" applyBorder="1" applyAlignment="1">
      <alignment/>
    </xf>
    <xf numFmtId="0" fontId="0" fillId="7" borderId="52" xfId="0" applyFill="1" applyBorder="1" applyAlignment="1">
      <alignment horizontal="center"/>
    </xf>
    <xf numFmtId="0" fontId="0" fillId="5" borderId="25" xfId="0" applyFont="1" applyFill="1" applyBorder="1" applyAlignment="1">
      <alignment horizontal="centerContinuous"/>
    </xf>
    <xf numFmtId="0" fontId="0" fillId="5" borderId="107" xfId="0" applyFont="1" applyFill="1" applyBorder="1" applyAlignment="1">
      <alignment horizontal="centerContinuous"/>
    </xf>
    <xf numFmtId="0" fontId="0" fillId="5" borderId="24" xfId="0" applyFont="1" applyFill="1" applyBorder="1" applyAlignment="1">
      <alignment horizontal="centerContinuous"/>
    </xf>
    <xf numFmtId="164" fontId="3" fillId="2" borderId="128" xfId="0" applyNumberFormat="1" applyFont="1" applyFill="1" applyBorder="1" applyAlignment="1">
      <alignment/>
    </xf>
    <xf numFmtId="0" fontId="0" fillId="5" borderId="31" xfId="0" applyFont="1" applyFill="1" applyBorder="1" applyAlignment="1">
      <alignment horizontal="center"/>
    </xf>
    <xf numFmtId="0" fontId="0" fillId="5" borderId="17" xfId="0" applyFont="1" applyFill="1" applyBorder="1" applyAlignment="1">
      <alignment horizontal="center"/>
    </xf>
    <xf numFmtId="164" fontId="0" fillId="2" borderId="128" xfId="0" applyNumberFormat="1" applyFont="1" applyFill="1" applyBorder="1" applyAlignment="1">
      <alignment/>
    </xf>
    <xf numFmtId="164" fontId="0" fillId="2" borderId="31" xfId="0" applyNumberFormat="1" applyFont="1" applyFill="1" applyBorder="1" applyAlignment="1">
      <alignment/>
    </xf>
    <xf numFmtId="164" fontId="0" fillId="2" borderId="16" xfId="0" applyNumberFormat="1" applyFont="1" applyFill="1" applyBorder="1" applyAlignment="1">
      <alignment/>
    </xf>
    <xf numFmtId="164" fontId="0" fillId="2" borderId="129" xfId="0" applyNumberFormat="1" applyFont="1" applyFill="1" applyBorder="1" applyAlignment="1">
      <alignment/>
    </xf>
    <xf numFmtId="0" fontId="0" fillId="2" borderId="130" xfId="0" applyFill="1" applyBorder="1" applyAlignment="1">
      <alignment horizontal="center"/>
    </xf>
    <xf numFmtId="0" fontId="0" fillId="2" borderId="122" xfId="0" applyFill="1" applyBorder="1" applyAlignment="1">
      <alignment horizontal="center"/>
    </xf>
    <xf numFmtId="0" fontId="0" fillId="2" borderId="16" xfId="0" applyFill="1" applyBorder="1" applyAlignment="1">
      <alignment horizontal="center"/>
    </xf>
    <xf numFmtId="0" fontId="0" fillId="2" borderId="128" xfId="0" applyFill="1" applyBorder="1" applyAlignment="1">
      <alignment horizontal="center"/>
    </xf>
    <xf numFmtId="0" fontId="0" fillId="6" borderId="23" xfId="0" applyFill="1" applyBorder="1" applyAlignment="1">
      <alignment horizontal="center"/>
    </xf>
    <xf numFmtId="0" fontId="0" fillId="6" borderId="117" xfId="0" applyFill="1" applyBorder="1" applyAlignment="1">
      <alignment horizontal="center"/>
    </xf>
    <xf numFmtId="0" fontId="0" fillId="6" borderId="27" xfId="0" applyFill="1" applyBorder="1" applyAlignment="1">
      <alignment horizontal="center"/>
    </xf>
    <xf numFmtId="0" fontId="0" fillId="6" borderId="103" xfId="0" applyFill="1" applyBorder="1" applyAlignment="1">
      <alignment horizontal="center"/>
    </xf>
    <xf numFmtId="164" fontId="3" fillId="2" borderId="33" xfId="0" applyNumberFormat="1" applyFont="1" applyFill="1" applyBorder="1" applyAlignment="1">
      <alignment horizontal="right"/>
    </xf>
    <xf numFmtId="165" fontId="3" fillId="2" borderId="29" xfId="0" applyNumberFormat="1" applyFont="1" applyFill="1" applyBorder="1" applyAlignment="1" applyProtection="1">
      <alignment horizontal="right"/>
      <protection/>
    </xf>
    <xf numFmtId="165" fontId="3" fillId="2" borderId="30" xfId="0" applyNumberFormat="1" applyFont="1" applyFill="1" applyBorder="1" applyAlignment="1" applyProtection="1">
      <alignment horizontal="right"/>
      <protection/>
    </xf>
    <xf numFmtId="165" fontId="3" fillId="2" borderId="61" xfId="0" applyNumberFormat="1" applyFont="1" applyFill="1" applyBorder="1" applyAlignment="1" applyProtection="1">
      <alignment horizontal="right"/>
      <protection/>
    </xf>
    <xf numFmtId="165" fontId="3" fillId="2" borderId="31" xfId="0" applyNumberFormat="1" applyFont="1" applyFill="1" applyBorder="1" applyAlignment="1" applyProtection="1">
      <alignment horizontal="right"/>
      <protection/>
    </xf>
    <xf numFmtId="165" fontId="3" fillId="2" borderId="64" xfId="0" applyNumberFormat="1" applyFont="1" applyFill="1" applyBorder="1" applyAlignment="1">
      <alignment horizontal="right"/>
    </xf>
    <xf numFmtId="165" fontId="3" fillId="2" borderId="40" xfId="0" applyNumberFormat="1" applyFont="1" applyFill="1" applyBorder="1" applyAlignment="1">
      <alignment horizontal="right"/>
    </xf>
    <xf numFmtId="165" fontId="3" fillId="2" borderId="41" xfId="0" applyNumberFormat="1" applyFont="1" applyFill="1" applyBorder="1" applyAlignment="1">
      <alignment horizontal="right"/>
    </xf>
    <xf numFmtId="165" fontId="3" fillId="2" borderId="42" xfId="0" applyNumberFormat="1" applyFont="1" applyFill="1" applyBorder="1" applyAlignment="1">
      <alignment horizontal="right"/>
    </xf>
    <xf numFmtId="164" fontId="3" fillId="2" borderId="4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31" xfId="0" applyNumberFormat="1" applyFont="1" applyFill="1" applyBorder="1" applyAlignment="1">
      <alignment horizontal="right"/>
    </xf>
    <xf numFmtId="164" fontId="3" fillId="2" borderId="32" xfId="0" applyNumberFormat="1" applyFont="1" applyFill="1" applyBorder="1" applyAlignment="1">
      <alignment horizontal="right"/>
    </xf>
    <xf numFmtId="164" fontId="3" fillId="2" borderId="52" xfId="0" applyNumberFormat="1" applyFont="1" applyFill="1" applyBorder="1" applyAlignment="1">
      <alignment horizontal="right"/>
    </xf>
    <xf numFmtId="0" fontId="28" fillId="6" borderId="90" xfId="0" applyFont="1" applyFill="1" applyBorder="1" applyAlignment="1">
      <alignment/>
    </xf>
    <xf numFmtId="0" fontId="10" fillId="6" borderId="0" xfId="0" applyFont="1" applyFill="1" applyBorder="1" applyAlignment="1">
      <alignment/>
    </xf>
    <xf numFmtId="0" fontId="10" fillId="5" borderId="0" xfId="0" applyFont="1" applyFill="1" applyBorder="1" applyAlignment="1">
      <alignment/>
    </xf>
    <xf numFmtId="0" fontId="28" fillId="6" borderId="101" xfId="0" applyFont="1" applyFill="1" applyBorder="1" applyAlignment="1">
      <alignment/>
    </xf>
    <xf numFmtId="0" fontId="10" fillId="6" borderId="83" xfId="0" applyFont="1" applyFill="1" applyBorder="1" applyAlignment="1">
      <alignment/>
    </xf>
    <xf numFmtId="0" fontId="10" fillId="5" borderId="83" xfId="0" applyFont="1" applyFill="1" applyBorder="1" applyAlignment="1">
      <alignment/>
    </xf>
    <xf numFmtId="0" fontId="0" fillId="0" borderId="132" xfId="0" applyBorder="1" applyAlignment="1">
      <alignment/>
    </xf>
    <xf numFmtId="165" fontId="3" fillId="2" borderId="133" xfId="0" applyNumberFormat="1" applyFont="1" applyFill="1" applyBorder="1" applyAlignment="1" applyProtection="1">
      <alignment horizontal="right"/>
      <protection/>
    </xf>
    <xf numFmtId="165" fontId="3" fillId="2" borderId="95" xfId="0" applyNumberFormat="1" applyFont="1" applyFill="1" applyBorder="1" applyAlignment="1" applyProtection="1">
      <alignment horizontal="right"/>
      <protection/>
    </xf>
    <xf numFmtId="0" fontId="3" fillId="5" borderId="134" xfId="0" applyFont="1" applyFill="1" applyBorder="1" applyAlignment="1">
      <alignment horizontal="centerContinuous"/>
    </xf>
    <xf numFmtId="164" fontId="3" fillId="2" borderId="133" xfId="0" applyNumberFormat="1" applyFont="1" applyFill="1" applyBorder="1" applyAlignment="1" applyProtection="1">
      <alignment horizontal="right"/>
      <protection/>
    </xf>
    <xf numFmtId="164" fontId="3" fillId="2" borderId="96" xfId="0" applyNumberFormat="1" applyFont="1" applyFill="1" applyBorder="1" applyAlignment="1" applyProtection="1">
      <alignment horizontal="right"/>
      <protection/>
    </xf>
    <xf numFmtId="164" fontId="3" fillId="2" borderId="112" xfId="0" applyNumberFormat="1" applyFont="1" applyFill="1" applyBorder="1" applyAlignment="1" applyProtection="1">
      <alignment horizontal="right"/>
      <protection/>
    </xf>
    <xf numFmtId="164" fontId="3" fillId="2" borderId="95" xfId="0" applyNumberFormat="1" applyFont="1" applyFill="1" applyBorder="1" applyAlignment="1" applyProtection="1">
      <alignment horizontal="right"/>
      <protection/>
    </xf>
    <xf numFmtId="164" fontId="3" fillId="2" borderId="94" xfId="0" applyNumberFormat="1" applyFont="1" applyFill="1" applyBorder="1" applyAlignment="1" applyProtection="1">
      <alignment horizontal="right"/>
      <protection/>
    </xf>
    <xf numFmtId="0" fontId="15" fillId="4" borderId="135" xfId="0" applyFont="1" applyFill="1" applyBorder="1" applyAlignment="1">
      <alignment/>
    </xf>
    <xf numFmtId="0" fontId="15" fillId="4" borderId="33" xfId="0" applyFont="1" applyFill="1" applyBorder="1" applyAlignment="1">
      <alignment/>
    </xf>
    <xf numFmtId="0" fontId="15" fillId="4" borderId="136" xfId="0" applyFont="1" applyFill="1" applyBorder="1" applyAlignment="1">
      <alignment vertical="distributed"/>
    </xf>
    <xf numFmtId="0" fontId="15" fillId="4" borderId="49" xfId="0" applyFont="1" applyFill="1" applyBorder="1" applyAlignment="1">
      <alignment/>
    </xf>
    <xf numFmtId="0" fontId="10" fillId="6" borderId="18" xfId="0" applyFont="1" applyFill="1" applyBorder="1" applyAlignment="1">
      <alignment/>
    </xf>
    <xf numFmtId="0" fontId="15" fillId="3" borderId="68" xfId="0" applyFont="1" applyFill="1" applyBorder="1" applyAlignment="1">
      <alignment/>
    </xf>
    <xf numFmtId="0" fontId="15" fillId="3" borderId="97" xfId="0" applyFont="1" applyFill="1" applyBorder="1" applyAlignment="1">
      <alignment/>
    </xf>
    <xf numFmtId="165" fontId="3" fillId="2" borderId="96" xfId="0" applyNumberFormat="1" applyFont="1" applyFill="1" applyBorder="1" applyAlignment="1" applyProtection="1">
      <alignment horizontal="right"/>
      <protection/>
    </xf>
    <xf numFmtId="165" fontId="3" fillId="2" borderId="112"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40" xfId="0" applyNumberFormat="1" applyFont="1" applyFill="1" applyBorder="1" applyAlignment="1">
      <alignment/>
    </xf>
    <xf numFmtId="0" fontId="3" fillId="6" borderId="18" xfId="0" applyFont="1" applyFill="1" applyBorder="1" applyAlignment="1">
      <alignment/>
    </xf>
    <xf numFmtId="0" fontId="3" fillId="6" borderId="66" xfId="0" applyFont="1" applyFill="1" applyBorder="1" applyAlignment="1">
      <alignment/>
    </xf>
    <xf numFmtId="0" fontId="3" fillId="6" borderId="122" xfId="0" applyFont="1" applyFill="1" applyBorder="1" applyAlignment="1">
      <alignment/>
    </xf>
    <xf numFmtId="164" fontId="3" fillId="6" borderId="53" xfId="0" applyNumberFormat="1" applyFont="1" applyFill="1" applyBorder="1" applyAlignment="1">
      <alignment/>
    </xf>
    <xf numFmtId="164" fontId="1" fillId="7" borderId="137" xfId="0" applyNumberFormat="1" applyFont="1" applyFill="1" applyBorder="1" applyAlignment="1">
      <alignment/>
    </xf>
    <xf numFmtId="164" fontId="1" fillId="7" borderId="138" xfId="0" applyNumberFormat="1" applyFont="1" applyFill="1" applyBorder="1" applyAlignment="1">
      <alignment/>
    </xf>
    <xf numFmtId="164" fontId="1" fillId="7" borderId="139" xfId="0" applyNumberFormat="1" applyFont="1" applyFill="1" applyBorder="1" applyAlignment="1">
      <alignment/>
    </xf>
    <xf numFmtId="164" fontId="10" fillId="11" borderId="131" xfId="0" applyNumberFormat="1" applyFont="1" applyFill="1" applyBorder="1" applyAlignment="1" applyProtection="1">
      <alignment horizontal="right"/>
      <protection locked="0"/>
    </xf>
    <xf numFmtId="164" fontId="3" fillId="2" borderId="17" xfId="0" applyNumberFormat="1" applyFont="1" applyFill="1" applyBorder="1" applyAlignment="1">
      <alignment/>
    </xf>
    <xf numFmtId="164" fontId="3" fillId="2" borderId="140" xfId="0" applyNumberFormat="1" applyFont="1" applyFill="1" applyBorder="1" applyAlignment="1">
      <alignment/>
    </xf>
    <xf numFmtId="164" fontId="3" fillId="2" borderId="32" xfId="0" applyNumberFormat="1" applyFont="1" applyFill="1" applyBorder="1" applyAlignment="1">
      <alignment/>
    </xf>
    <xf numFmtId="0" fontId="29" fillId="4" borderId="8" xfId="0" applyFont="1" applyFill="1" applyBorder="1" applyAlignment="1">
      <alignment/>
    </xf>
    <xf numFmtId="0" fontId="0" fillId="4" borderId="3" xfId="0" applyFill="1" applyBorder="1" applyAlignment="1">
      <alignment/>
    </xf>
    <xf numFmtId="0" fontId="12" fillId="5" borderId="90" xfId="0" applyFont="1" applyFill="1" applyBorder="1" applyAlignment="1">
      <alignment/>
    </xf>
    <xf numFmtId="0" fontId="12" fillId="5" borderId="0" xfId="0" applyFont="1" applyFill="1" applyBorder="1" applyAlignment="1">
      <alignment/>
    </xf>
    <xf numFmtId="165" fontId="12" fillId="4" borderId="141" xfId="0" applyNumberFormat="1" applyFont="1" applyFill="1" applyBorder="1" applyAlignment="1">
      <alignment/>
    </xf>
    <xf numFmtId="165" fontId="12" fillId="4" borderId="12" xfId="0" applyNumberFormat="1" applyFont="1" applyFill="1" applyBorder="1" applyAlignment="1">
      <alignment/>
    </xf>
    <xf numFmtId="0" fontId="0" fillId="5" borderId="87" xfId="0" applyFill="1" applyBorder="1" applyAlignment="1">
      <alignment/>
    </xf>
    <xf numFmtId="0" fontId="0" fillId="5" borderId="142" xfId="0" applyFill="1" applyBorder="1" applyAlignment="1">
      <alignment/>
    </xf>
    <xf numFmtId="0" fontId="3" fillId="5" borderId="143" xfId="0" applyFont="1" applyFill="1" applyBorder="1" applyAlignment="1">
      <alignment horizontal="center"/>
    </xf>
    <xf numFmtId="0" fontId="3" fillId="5" borderId="144" xfId="0" applyFont="1" applyFill="1" applyBorder="1" applyAlignment="1">
      <alignment horizontal="center"/>
    </xf>
    <xf numFmtId="0" fontId="3" fillId="6" borderId="145" xfId="0" applyFont="1" applyFill="1" applyBorder="1" applyAlignment="1">
      <alignment/>
    </xf>
    <xf numFmtId="0" fontId="41"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 fillId="11" borderId="98" xfId="0" applyFont="1" applyFill="1" applyBorder="1" applyAlignment="1" applyProtection="1">
      <alignment/>
      <protection locked="0"/>
    </xf>
    <xf numFmtId="0" fontId="27" fillId="4" borderId="3" xfId="0" applyFont="1" applyFill="1" applyBorder="1" applyAlignment="1">
      <alignment/>
    </xf>
    <xf numFmtId="0" fontId="3" fillId="4" borderId="4" xfId="0" applyFont="1" applyFill="1" applyBorder="1" applyAlignment="1">
      <alignment/>
    </xf>
    <xf numFmtId="0" fontId="0" fillId="11" borderId="118" xfId="0" applyFill="1" applyBorder="1" applyAlignment="1" applyProtection="1">
      <alignment/>
      <protection locked="0"/>
    </xf>
    <xf numFmtId="0" fontId="0" fillId="14" borderId="10" xfId="0" applyFill="1" applyBorder="1" applyAlignment="1">
      <alignment horizontal="centerContinuous"/>
    </xf>
    <xf numFmtId="0" fontId="0" fillId="14" borderId="11" xfId="0" applyFill="1" applyBorder="1" applyAlignment="1">
      <alignment/>
    </xf>
    <xf numFmtId="0" fontId="0" fillId="14" borderId="0" xfId="0" applyFill="1" applyBorder="1" applyAlignment="1">
      <alignment horizontal="centerContinuous" vertical="center"/>
    </xf>
    <xf numFmtId="0" fontId="0" fillId="14" borderId="12" xfId="0" applyFill="1" applyBorder="1" applyAlignment="1">
      <alignment/>
    </xf>
    <xf numFmtId="0" fontId="0" fillId="14" borderId="13" xfId="0" applyFill="1" applyBorder="1" applyAlignment="1">
      <alignment horizontal="centerContinuous" vertical="center"/>
    </xf>
    <xf numFmtId="0" fontId="0" fillId="14" borderId="14" xfId="0" applyFill="1" applyBorder="1" applyAlignment="1">
      <alignment/>
    </xf>
    <xf numFmtId="0" fontId="0" fillId="9" borderId="0" xfId="0" applyFill="1" applyAlignment="1">
      <alignment/>
    </xf>
    <xf numFmtId="0" fontId="0" fillId="9" borderId="12" xfId="0" applyFill="1" applyBorder="1" applyAlignment="1">
      <alignment/>
    </xf>
    <xf numFmtId="0" fontId="0" fillId="9" borderId="0" xfId="0" applyFill="1" applyBorder="1" applyAlignment="1">
      <alignment/>
    </xf>
    <xf numFmtId="0" fontId="3" fillId="9" borderId="0" xfId="0" applyFont="1" applyFill="1" applyAlignment="1">
      <alignment/>
    </xf>
    <xf numFmtId="0" fontId="42" fillId="14" borderId="22" xfId="0" applyFont="1" applyFill="1" applyBorder="1" applyAlignment="1">
      <alignment horizontal="centerContinuous" vertical="center"/>
    </xf>
    <xf numFmtId="0" fontId="42" fillId="14" borderId="90" xfId="0" applyFont="1" applyFill="1" applyBorder="1" applyAlignment="1">
      <alignment horizontal="centerContinuous" vertical="center"/>
    </xf>
    <xf numFmtId="0" fontId="42" fillId="14" borderId="91" xfId="0" applyFont="1" applyFill="1" applyBorder="1" applyAlignment="1">
      <alignment horizontal="centerContinuous" vertical="center"/>
    </xf>
    <xf numFmtId="0" fontId="42" fillId="3" borderId="22" xfId="0" applyFont="1" applyFill="1" applyBorder="1" applyAlignment="1">
      <alignment horizontal="centerContinuous" vertical="center"/>
    </xf>
    <xf numFmtId="0" fontId="42" fillId="3" borderId="90" xfId="0" applyFont="1" applyFill="1" applyBorder="1" applyAlignment="1">
      <alignment horizontal="centerContinuous" vertical="center"/>
    </xf>
    <xf numFmtId="0" fontId="42" fillId="3" borderId="91" xfId="0" applyFont="1" applyFill="1" applyBorder="1" applyAlignment="1">
      <alignment horizontal="centerContinuous" vertical="center"/>
    </xf>
    <xf numFmtId="0" fontId="0" fillId="15" borderId="0" xfId="0" applyFont="1" applyFill="1" applyAlignment="1">
      <alignment/>
    </xf>
    <xf numFmtId="0" fontId="0" fillId="15" borderId="0" xfId="0" applyFill="1" applyAlignment="1">
      <alignment/>
    </xf>
    <xf numFmtId="0" fontId="48" fillId="14" borderId="0" xfId="0" applyFont="1" applyFill="1" applyBorder="1" applyAlignment="1">
      <alignment horizontal="centerContinuous" vertical="center"/>
    </xf>
    <xf numFmtId="165" fontId="0" fillId="2" borderId="41" xfId="0" applyNumberFormat="1" applyFill="1" applyBorder="1" applyAlignment="1">
      <alignment horizontal="right"/>
    </xf>
    <xf numFmtId="165" fontId="0" fillId="2" borderId="125" xfId="0" applyNumberFormat="1" applyFill="1" applyBorder="1" applyAlignment="1">
      <alignment horizontal="right"/>
    </xf>
    <xf numFmtId="165" fontId="0" fillId="2" borderId="40" xfId="0" applyNumberFormat="1" applyFill="1" applyBorder="1" applyAlignment="1">
      <alignment horizontal="right"/>
    </xf>
    <xf numFmtId="165" fontId="0" fillId="2" borderId="64" xfId="0" applyNumberFormat="1" applyFill="1" applyBorder="1" applyAlignment="1">
      <alignment horizontal="right"/>
    </xf>
    <xf numFmtId="165" fontId="0" fillId="2" borderId="53" xfId="0" applyNumberFormat="1" applyFill="1" applyBorder="1" applyAlignment="1">
      <alignment horizontal="right"/>
    </xf>
    <xf numFmtId="165" fontId="0" fillId="2" borderId="42" xfId="0" applyNumberFormat="1" applyFill="1" applyBorder="1" applyAlignment="1">
      <alignment horizontal="right"/>
    </xf>
    <xf numFmtId="0" fontId="41" fillId="0" borderId="0" xfId="0" applyFont="1" applyAlignment="1">
      <alignment vertical="center"/>
    </xf>
    <xf numFmtId="0" fontId="1" fillId="5" borderId="17" xfId="0" applyFont="1" applyFill="1" applyBorder="1" applyAlignment="1">
      <alignment horizontal="left"/>
    </xf>
    <xf numFmtId="0" fontId="1" fillId="5" borderId="5" xfId="0" applyFont="1" applyFill="1" applyBorder="1" applyAlignment="1">
      <alignment horizontal="left"/>
    </xf>
    <xf numFmtId="0" fontId="3" fillId="5" borderId="112" xfId="0" applyFont="1" applyFill="1" applyBorder="1" applyAlignment="1">
      <alignment horizontal="left"/>
    </xf>
    <xf numFmtId="0" fontId="0" fillId="5" borderId="28" xfId="0" applyFill="1" applyBorder="1" applyAlignment="1">
      <alignment horizontal="left"/>
    </xf>
    <xf numFmtId="0" fontId="0" fillId="2" borderId="33" xfId="0" applyFill="1" applyBorder="1" applyAlignment="1">
      <alignment/>
    </xf>
    <xf numFmtId="0" fontId="0" fillId="2" borderId="17" xfId="0" applyFill="1" applyBorder="1" applyAlignment="1">
      <alignment/>
    </xf>
    <xf numFmtId="0" fontId="0" fillId="2" borderId="52" xfId="0" applyFill="1" applyBorder="1" applyAlignment="1">
      <alignment/>
    </xf>
    <xf numFmtId="164" fontId="3" fillId="2" borderId="33" xfId="0" applyNumberFormat="1" applyFont="1" applyFill="1" applyBorder="1" applyAlignment="1">
      <alignment/>
    </xf>
    <xf numFmtId="0" fontId="0" fillId="2" borderId="52" xfId="0" applyFill="1" applyBorder="1" applyAlignment="1">
      <alignment horizontal="center"/>
    </xf>
    <xf numFmtId="164" fontId="3" fillId="2" borderId="52" xfId="0" applyNumberFormat="1" applyFont="1" applyFill="1" applyBorder="1" applyAlignment="1">
      <alignment/>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17" xfId="0" applyFill="1" applyBorder="1" applyAlignment="1" applyProtection="1">
      <alignment/>
      <protection/>
    </xf>
    <xf numFmtId="0" fontId="0" fillId="2" borderId="52" xfId="0" applyFill="1" applyBorder="1" applyAlignment="1" applyProtection="1">
      <alignment/>
      <protection/>
    </xf>
    <xf numFmtId="0" fontId="0" fillId="2" borderId="32" xfId="0" applyNumberFormat="1" applyFont="1" applyFill="1" applyBorder="1" applyAlignment="1" applyProtection="1">
      <alignment horizontal="center"/>
      <protection/>
    </xf>
    <xf numFmtId="0" fontId="0" fillId="2" borderId="33" xfId="0" applyNumberFormat="1" applyFont="1" applyFill="1" applyBorder="1" applyAlignment="1" applyProtection="1">
      <alignment horizontal="center"/>
      <protection/>
    </xf>
    <xf numFmtId="167" fontId="3" fillId="2" borderId="41" xfId="0" applyNumberFormat="1" applyFont="1" applyFill="1" applyBorder="1" applyAlignment="1" applyProtection="1">
      <alignment horizontal="center"/>
      <protection/>
    </xf>
    <xf numFmtId="0" fontId="48" fillId="3" borderId="0" xfId="0" applyFont="1" applyFill="1" applyBorder="1" applyAlignment="1">
      <alignment horizontal="centerContinuous" vertical="center"/>
    </xf>
    <xf numFmtId="164" fontId="1" fillId="7" borderId="146" xfId="0" applyNumberFormat="1" applyFont="1" applyFill="1" applyBorder="1" applyAlignment="1">
      <alignment/>
    </xf>
    <xf numFmtId="164" fontId="1" fillId="7" borderId="147" xfId="0" applyNumberFormat="1" applyFont="1" applyFill="1" applyBorder="1" applyAlignment="1">
      <alignment/>
    </xf>
    <xf numFmtId="164" fontId="1" fillId="7" borderId="148" xfId="0" applyNumberFormat="1" applyFont="1" applyFill="1" applyBorder="1" applyAlignment="1">
      <alignment/>
    </xf>
    <xf numFmtId="164" fontId="1" fillId="4" borderId="29" xfId="0" applyNumberFormat="1" applyFont="1" applyFill="1" applyBorder="1" applyAlignment="1">
      <alignment/>
    </xf>
    <xf numFmtId="164" fontId="1" fillId="4" borderId="32" xfId="0" applyNumberFormat="1" applyFont="1" applyFill="1" applyBorder="1" applyAlignment="1">
      <alignment/>
    </xf>
    <xf numFmtId="164" fontId="1" fillId="4" borderId="30" xfId="0" applyNumberFormat="1" applyFont="1" applyFill="1" applyBorder="1" applyAlignment="1">
      <alignment/>
    </xf>
    <xf numFmtId="164" fontId="1" fillId="4" borderId="33" xfId="0" applyNumberFormat="1" applyFont="1" applyFill="1" applyBorder="1" applyAlignment="1">
      <alignment/>
    </xf>
    <xf numFmtId="164" fontId="1" fillId="4" borderId="63" xfId="0" applyNumberFormat="1" applyFont="1" applyFill="1" applyBorder="1" applyAlignment="1">
      <alignment/>
    </xf>
    <xf numFmtId="164" fontId="1" fillId="4" borderId="52" xfId="0" applyNumberFormat="1" applyFont="1" applyFill="1" applyBorder="1" applyAlignment="1">
      <alignment/>
    </xf>
    <xf numFmtId="164" fontId="1" fillId="4" borderId="31" xfId="0" applyNumberFormat="1" applyFont="1" applyFill="1" applyBorder="1" applyAlignment="1">
      <alignment/>
    </xf>
    <xf numFmtId="164" fontId="1" fillId="4" borderId="17" xfId="0" applyNumberFormat="1" applyFont="1" applyFill="1" applyBorder="1" applyAlignment="1">
      <alignment/>
    </xf>
    <xf numFmtId="0" fontId="0" fillId="16" borderId="8" xfId="0" applyFill="1" applyBorder="1" applyAlignment="1">
      <alignment/>
    </xf>
    <xf numFmtId="0" fontId="43" fillId="16" borderId="1" xfId="0" applyFont="1" applyFill="1" applyBorder="1" applyAlignment="1">
      <alignment/>
    </xf>
    <xf numFmtId="0" fontId="0" fillId="16" borderId="1" xfId="0" applyFill="1" applyBorder="1" applyAlignment="1">
      <alignment/>
    </xf>
    <xf numFmtId="0" fontId="0" fillId="16" borderId="2" xfId="0" applyFill="1" applyBorder="1" applyAlignment="1">
      <alignment/>
    </xf>
    <xf numFmtId="0" fontId="0" fillId="16" borderId="3" xfId="0" applyFill="1"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0" xfId="0" applyFill="1" applyBorder="1" applyAlignment="1">
      <alignment/>
    </xf>
    <xf numFmtId="0" fontId="0" fillId="16" borderId="9" xfId="0" applyFill="1" applyBorder="1" applyAlignment="1">
      <alignment/>
    </xf>
    <xf numFmtId="0" fontId="0" fillId="16" borderId="0" xfId="0" applyFill="1" applyAlignment="1">
      <alignment wrapText="1"/>
    </xf>
    <xf numFmtId="0" fontId="0" fillId="16" borderId="4" xfId="0" applyFill="1" applyBorder="1" applyAlignment="1">
      <alignment/>
    </xf>
    <xf numFmtId="0" fontId="0" fillId="16" borderId="5" xfId="0" applyFill="1" applyBorder="1" applyAlignment="1">
      <alignment/>
    </xf>
    <xf numFmtId="0" fontId="0" fillId="16" borderId="6" xfId="0" applyFill="1" applyBorder="1" applyAlignment="1">
      <alignment/>
    </xf>
    <xf numFmtId="0" fontId="0" fillId="16" borderId="149" xfId="0" applyFill="1" applyBorder="1" applyAlignment="1">
      <alignment/>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3" fillId="3" borderId="66" xfId="0" applyFont="1" applyFill="1" applyBorder="1" applyAlignment="1">
      <alignment horizontal="right"/>
    </xf>
    <xf numFmtId="0" fontId="0" fillId="3" borderId="66" xfId="0" applyFill="1" applyBorder="1" applyAlignment="1">
      <alignment horizontal="right"/>
    </xf>
    <xf numFmtId="0" fontId="3" fillId="5" borderId="107" xfId="0" applyFont="1" applyFill="1" applyBorder="1" applyAlignment="1">
      <alignment/>
    </xf>
    <xf numFmtId="0" fontId="3" fillId="5" borderId="86" xfId="0" applyFont="1" applyFill="1" applyBorder="1" applyAlignment="1">
      <alignment horizontal="center"/>
    </xf>
    <xf numFmtId="165" fontId="3" fillId="2" borderId="121" xfId="0" applyNumberFormat="1" applyFont="1" applyFill="1" applyBorder="1" applyAlignment="1" applyProtection="1">
      <alignment horizontal="right"/>
      <protection/>
    </xf>
    <xf numFmtId="165" fontId="3" fillId="2" borderId="83" xfId="0" applyNumberFormat="1" applyFont="1" applyFill="1" applyBorder="1" applyAlignment="1" applyProtection="1">
      <alignment horizontal="right"/>
      <protection/>
    </xf>
    <xf numFmtId="165" fontId="3" fillId="2" borderId="66" xfId="0" applyNumberFormat="1" applyFont="1" applyFill="1" applyBorder="1" applyAlignment="1" applyProtection="1">
      <alignment horizontal="right"/>
      <protection/>
    </xf>
    <xf numFmtId="165" fontId="3" fillId="2" borderId="86" xfId="0" applyNumberFormat="1" applyFont="1" applyFill="1" applyBorder="1" applyAlignment="1" applyProtection="1">
      <alignment horizontal="right"/>
      <protection/>
    </xf>
    <xf numFmtId="165" fontId="3" fillId="2" borderId="66" xfId="0" applyNumberFormat="1" applyFont="1" applyFill="1" applyBorder="1" applyAlignment="1">
      <alignment/>
    </xf>
    <xf numFmtId="165" fontId="0" fillId="2" borderId="66" xfId="0" applyNumberFormat="1" applyFill="1" applyBorder="1" applyAlignment="1">
      <alignment/>
    </xf>
    <xf numFmtId="165" fontId="0" fillId="2" borderId="0" xfId="0" applyNumberFormat="1" applyFill="1" applyBorder="1" applyAlignment="1">
      <alignment/>
    </xf>
    <xf numFmtId="0" fontId="3" fillId="5" borderId="142" xfId="0" applyFont="1" applyFill="1" applyBorder="1" applyAlignment="1">
      <alignment horizontal="center"/>
    </xf>
    <xf numFmtId="165" fontId="12" fillId="4" borderId="0" xfId="0" applyNumberFormat="1" applyFont="1" applyFill="1" applyBorder="1" applyAlignment="1">
      <alignment/>
    </xf>
    <xf numFmtId="165" fontId="15" fillId="4" borderId="66" xfId="0" applyNumberFormat="1" applyFont="1" applyFill="1" applyBorder="1" applyAlignment="1">
      <alignment/>
    </xf>
    <xf numFmtId="0" fontId="12" fillId="4" borderId="13" xfId="0" applyFont="1" applyFill="1" applyBorder="1" applyAlignment="1">
      <alignment horizontal="center"/>
    </xf>
    <xf numFmtId="0" fontId="0" fillId="11" borderId="99" xfId="0" applyFill="1" applyBorder="1" applyAlignment="1">
      <alignment horizontal="center"/>
    </xf>
    <xf numFmtId="0" fontId="0" fillId="11" borderId="109" xfId="0" applyFill="1" applyBorder="1" applyAlignment="1">
      <alignment horizontal="center"/>
    </xf>
    <xf numFmtId="167" fontId="3" fillId="2" borderId="28" xfId="0" applyNumberFormat="1" applyFont="1" applyFill="1" applyBorder="1" applyAlignment="1" applyProtection="1">
      <alignment horizontal="center"/>
      <protection/>
    </xf>
    <xf numFmtId="164" fontId="0" fillId="2" borderId="130" xfId="0" applyNumberFormat="1" applyFont="1" applyFill="1" applyBorder="1" applyAlignment="1" applyProtection="1">
      <alignment horizontal="right"/>
      <protection/>
    </xf>
    <xf numFmtId="164" fontId="0" fillId="2" borderId="122" xfId="0" applyNumberFormat="1" applyFont="1" applyFill="1" applyBorder="1" applyAlignment="1" applyProtection="1">
      <alignment horizontal="right"/>
      <protection/>
    </xf>
    <xf numFmtId="164" fontId="0" fillId="2" borderId="16" xfId="0" applyNumberFormat="1" applyFont="1" applyFill="1" applyBorder="1" applyAlignment="1" applyProtection="1">
      <alignment horizontal="right"/>
      <protection/>
    </xf>
    <xf numFmtId="164" fontId="0" fillId="2" borderId="128" xfId="0" applyNumberFormat="1" applyFont="1" applyFill="1" applyBorder="1" applyAlignment="1" applyProtection="1">
      <alignment horizontal="right"/>
      <protection/>
    </xf>
    <xf numFmtId="0" fontId="0" fillId="5" borderId="150" xfId="0" applyFill="1" applyBorder="1" applyAlignment="1">
      <alignment horizontal="center"/>
    </xf>
    <xf numFmtId="0" fontId="0" fillId="5" borderId="151" xfId="0" applyFill="1" applyBorder="1" applyAlignment="1">
      <alignment horizontal="center"/>
    </xf>
    <xf numFmtId="167" fontId="3" fillId="2" borderId="53" xfId="0" applyNumberFormat="1" applyFont="1" applyFill="1" applyBorder="1" applyAlignment="1" applyProtection="1">
      <alignment horizontal="center"/>
      <protection/>
    </xf>
    <xf numFmtId="167" fontId="3" fillId="2" borderId="152" xfId="0" applyNumberFormat="1" applyFont="1" applyFill="1" applyBorder="1" applyAlignment="1" applyProtection="1">
      <alignment horizontal="center"/>
      <protection/>
    </xf>
    <xf numFmtId="164" fontId="3" fillId="2" borderId="130" xfId="0" applyNumberFormat="1" applyFont="1" applyFill="1" applyBorder="1" applyAlignment="1" applyProtection="1">
      <alignment horizontal="center"/>
      <protection/>
    </xf>
    <xf numFmtId="164" fontId="3" fillId="2" borderId="122"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2" borderId="128" xfId="0" applyNumberFormat="1" applyFont="1" applyFill="1" applyBorder="1" applyAlignment="1" applyProtection="1">
      <alignment horizontal="center"/>
      <protection/>
    </xf>
    <xf numFmtId="164" fontId="3" fillId="2" borderId="153" xfId="0" applyNumberFormat="1" applyFont="1" applyFill="1" applyBorder="1" applyAlignment="1" applyProtection="1">
      <alignment horizontal="center"/>
      <protection/>
    </xf>
    <xf numFmtId="0" fontId="3" fillId="5" borderId="107" xfId="0" applyFont="1" applyFill="1" applyBorder="1" applyAlignment="1">
      <alignment horizontal="centerContinuous"/>
    </xf>
    <xf numFmtId="164" fontId="3" fillId="2" borderId="121" xfId="0" applyNumberFormat="1" applyFont="1" applyFill="1" applyBorder="1" applyAlignment="1" applyProtection="1">
      <alignment horizontal="right"/>
      <protection/>
    </xf>
    <xf numFmtId="164" fontId="3" fillId="2" borderId="66" xfId="0" applyNumberFormat="1" applyFont="1" applyFill="1" applyBorder="1" applyAlignment="1" applyProtection="1">
      <alignment horizontal="right"/>
      <protection/>
    </xf>
    <xf numFmtId="164" fontId="3" fillId="2" borderId="86" xfId="0" applyNumberFormat="1" applyFont="1" applyFill="1" applyBorder="1" applyAlignment="1" applyProtection="1">
      <alignment horizontal="right"/>
      <protection/>
    </xf>
    <xf numFmtId="164" fontId="3" fillId="2" borderId="83" xfId="0" applyNumberFormat="1" applyFont="1" applyFill="1" applyBorder="1" applyAlignment="1" applyProtection="1">
      <alignment horizontal="right"/>
      <protection/>
    </xf>
    <xf numFmtId="164" fontId="3" fillId="2" borderId="78" xfId="0" applyNumberFormat="1" applyFont="1" applyFill="1" applyBorder="1" applyAlignment="1" applyProtection="1">
      <alignment horizontal="right"/>
      <protection/>
    </xf>
    <xf numFmtId="0" fontId="3" fillId="6" borderId="83" xfId="0" applyFont="1" applyFill="1" applyBorder="1" applyAlignment="1">
      <alignment/>
    </xf>
    <xf numFmtId="167" fontId="3" fillId="2" borderId="67" xfId="0" applyNumberFormat="1" applyFont="1" applyFill="1" applyBorder="1" applyAlignment="1" applyProtection="1">
      <alignment horizontal="center"/>
      <protection/>
    </xf>
    <xf numFmtId="167" fontId="3" fillId="2" borderId="123" xfId="0" applyNumberFormat="1" applyFont="1" applyFill="1" applyBorder="1" applyAlignment="1" applyProtection="1">
      <alignment horizontal="center"/>
      <protection/>
    </xf>
    <xf numFmtId="164" fontId="3" fillId="2" borderId="30" xfId="0" applyNumberFormat="1" applyFont="1" applyFill="1" applyBorder="1" applyAlignment="1" applyProtection="1">
      <alignment horizontal="center"/>
      <protection/>
    </xf>
    <xf numFmtId="164" fontId="3" fillId="2" borderId="61" xfId="0" applyNumberFormat="1" applyFont="1" applyFill="1" applyBorder="1" applyAlignment="1" applyProtection="1">
      <alignment horizontal="center"/>
      <protection/>
    </xf>
    <xf numFmtId="164" fontId="3" fillId="2" borderId="31" xfId="0" applyNumberFormat="1" applyFont="1" applyFill="1" applyBorder="1" applyAlignment="1" applyProtection="1">
      <alignment horizontal="center"/>
      <protection/>
    </xf>
    <xf numFmtId="164" fontId="3" fillId="2" borderId="29" xfId="0" applyNumberFormat="1" applyFont="1" applyFill="1" applyBorder="1" applyAlignment="1" applyProtection="1">
      <alignment horizontal="center"/>
      <protection/>
    </xf>
    <xf numFmtId="164" fontId="3" fillId="2" borderId="63" xfId="0" applyNumberFormat="1" applyFont="1" applyFill="1" applyBorder="1" applyAlignment="1" applyProtection="1">
      <alignment horizontal="center"/>
      <protection/>
    </xf>
    <xf numFmtId="0" fontId="3" fillId="5" borderId="15" xfId="0" applyFont="1" applyFill="1" applyBorder="1" applyAlignment="1">
      <alignment horizontal="centerContinuous"/>
    </xf>
    <xf numFmtId="0" fontId="3" fillId="5" borderId="17" xfId="0" applyFont="1" applyFill="1" applyBorder="1" applyAlignment="1">
      <alignment horizontal="center"/>
    </xf>
    <xf numFmtId="164" fontId="3" fillId="2" borderId="32" xfId="0" applyNumberFormat="1" applyFont="1" applyFill="1" applyBorder="1" applyAlignment="1" applyProtection="1">
      <alignment horizontal="right"/>
      <protection/>
    </xf>
    <xf numFmtId="164" fontId="3" fillId="2" borderId="33" xfId="0" applyNumberFormat="1" applyFont="1" applyFill="1" applyBorder="1" applyAlignment="1" applyProtection="1">
      <alignment horizontal="right"/>
      <protection/>
    </xf>
    <xf numFmtId="164" fontId="3" fillId="2" borderId="17" xfId="0" applyNumberFormat="1" applyFont="1" applyFill="1" applyBorder="1" applyAlignment="1" applyProtection="1">
      <alignment horizontal="right"/>
      <protection/>
    </xf>
    <xf numFmtId="164" fontId="3" fillId="2" borderId="49" xfId="0" applyNumberFormat="1" applyFont="1" applyFill="1" applyBorder="1" applyAlignment="1" applyProtection="1">
      <alignment horizontal="right"/>
      <protection/>
    </xf>
    <xf numFmtId="164" fontId="3" fillId="2" borderId="52" xfId="0" applyNumberFormat="1" applyFont="1" applyFill="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154" xfId="0" applyFill="1" applyBorder="1" applyAlignment="1">
      <alignment wrapText="1"/>
    </xf>
    <xf numFmtId="0" fontId="0" fillId="16" borderId="155" xfId="0" applyFill="1" applyBorder="1" applyAlignment="1">
      <alignment wrapText="1"/>
    </xf>
    <xf numFmtId="0" fontId="0" fillId="11" borderId="68" xfId="0" applyFill="1" applyBorder="1" applyAlignment="1" applyProtection="1">
      <alignment/>
      <protection locked="0"/>
    </xf>
    <xf numFmtId="0" fontId="0" fillId="11" borderId="122" xfId="0" applyFill="1" applyBorder="1" applyAlignment="1" applyProtection="1">
      <alignment/>
      <protection locked="0"/>
    </xf>
    <xf numFmtId="0" fontId="0" fillId="0" borderId="122" xfId="0" applyBorder="1" applyAlignment="1" applyProtection="1">
      <alignment/>
      <protection locked="0"/>
    </xf>
    <xf numFmtId="0" fontId="2" fillId="11" borderId="68" xfId="0" applyFont="1" applyFill="1" applyBorder="1" applyAlignment="1" applyProtection="1">
      <alignment/>
      <protection locked="0"/>
    </xf>
    <xf numFmtId="0" fontId="2" fillId="11" borderId="98" xfId="0" applyFont="1" applyFill="1" applyBorder="1" applyAlignment="1" applyProtection="1">
      <alignment/>
      <protection locked="0"/>
    </xf>
    <xf numFmtId="0" fontId="0" fillId="0" borderId="118" xfId="0" applyBorder="1" applyAlignment="1" applyProtection="1">
      <alignment/>
      <protection locked="0"/>
    </xf>
    <xf numFmtId="0" fontId="2" fillId="11" borderId="70" xfId="0" applyFont="1" applyFill="1" applyBorder="1" applyAlignment="1" applyProtection="1">
      <alignment/>
      <protection locked="0"/>
    </xf>
    <xf numFmtId="0" fontId="0" fillId="0" borderId="128" xfId="0" applyBorder="1" applyAlignment="1" applyProtection="1">
      <alignment/>
      <protection locked="0"/>
    </xf>
    <xf numFmtId="0" fontId="0" fillId="2" borderId="156" xfId="0" applyFill="1" applyBorder="1" applyAlignment="1">
      <alignment vertical="center" textRotation="90"/>
    </xf>
    <xf numFmtId="0" fontId="0" fillId="2" borderId="157" xfId="0" applyFill="1" applyBorder="1" applyAlignment="1">
      <alignment vertical="center"/>
    </xf>
    <xf numFmtId="0" fontId="0" fillId="2" borderId="158" xfId="0" applyFill="1" applyBorder="1" applyAlignment="1">
      <alignment vertical="center"/>
    </xf>
    <xf numFmtId="0" fontId="0" fillId="2" borderId="157" xfId="0" applyFill="1" applyBorder="1" applyAlignment="1">
      <alignment vertical="center" textRotation="90"/>
    </xf>
    <xf numFmtId="0" fontId="0" fillId="2" borderId="158" xfId="0" applyFill="1" applyBorder="1" applyAlignment="1">
      <alignment vertical="center" textRotation="90"/>
    </xf>
    <xf numFmtId="0" fontId="0" fillId="2" borderId="159" xfId="0" applyFill="1" applyBorder="1" applyAlignment="1">
      <alignment vertical="center" textRotation="90"/>
    </xf>
    <xf numFmtId="0" fontId="0" fillId="11" borderId="160" xfId="0" applyFill="1" applyBorder="1" applyAlignment="1">
      <alignment/>
    </xf>
    <xf numFmtId="0" fontId="0" fillId="0" borderId="1" xfId="0" applyBorder="1" applyAlignment="1">
      <alignment/>
    </xf>
    <xf numFmtId="0" fontId="0" fillId="0" borderId="2" xfId="0" applyBorder="1" applyAlignment="1">
      <alignment/>
    </xf>
    <xf numFmtId="0" fontId="0" fillId="11" borderId="161" xfId="0" applyFill="1" applyBorder="1" applyAlignment="1">
      <alignment/>
    </xf>
    <xf numFmtId="0" fontId="0" fillId="0" borderId="66" xfId="0" applyBorder="1" applyAlignment="1">
      <alignment/>
    </xf>
    <xf numFmtId="0" fontId="0" fillId="0" borderId="71" xfId="0" applyBorder="1" applyAlignment="1">
      <alignment/>
    </xf>
    <xf numFmtId="0" fontId="0" fillId="11" borderId="162" xfId="0" applyFill="1" applyBorder="1" applyAlignment="1">
      <alignment/>
    </xf>
    <xf numFmtId="0" fontId="0" fillId="11" borderId="1" xfId="0" applyFill="1" applyBorder="1" applyAlignment="1">
      <alignment/>
    </xf>
    <xf numFmtId="0" fontId="0" fillId="11" borderId="66" xfId="0" applyFill="1" applyBorder="1" applyAlignment="1">
      <alignment/>
    </xf>
    <xf numFmtId="0" fontId="0" fillId="11" borderId="163" xfId="0" applyFill="1" applyBorder="1" applyAlignment="1">
      <alignment/>
    </xf>
    <xf numFmtId="0" fontId="0" fillId="11" borderId="86" xfId="0" applyFill="1" applyBorder="1" applyAlignment="1">
      <alignment/>
    </xf>
    <xf numFmtId="0" fontId="0" fillId="0" borderId="86" xfId="0" applyBorder="1" applyAlignment="1">
      <alignment/>
    </xf>
    <xf numFmtId="0" fontId="0" fillId="0" borderId="119" xfId="0" applyBorder="1" applyAlignment="1">
      <alignment/>
    </xf>
    <xf numFmtId="0" fontId="15" fillId="5" borderId="12" xfId="0" applyFont="1" applyFill="1" applyBorder="1" applyAlignment="1">
      <alignment horizontal="center"/>
    </xf>
    <xf numFmtId="0" fontId="15" fillId="0" borderId="164" xfId="0" applyFont="1" applyBorder="1" applyAlignment="1">
      <alignment horizontal="center"/>
    </xf>
    <xf numFmtId="0" fontId="12" fillId="5" borderId="165" xfId="0" applyFont="1" applyFill="1" applyBorder="1" applyAlignment="1">
      <alignment horizontal="center"/>
    </xf>
    <xf numFmtId="0" fontId="12" fillId="0" borderId="14" xfId="0" applyFont="1" applyBorder="1" applyAlignment="1">
      <alignment/>
    </xf>
    <xf numFmtId="0" fontId="0" fillId="11" borderId="166" xfId="0" applyFill="1" applyBorder="1" applyAlignment="1">
      <alignment/>
    </xf>
    <xf numFmtId="0" fontId="0" fillId="0" borderId="121" xfId="0" applyBorder="1" applyAlignment="1">
      <alignment/>
    </xf>
    <xf numFmtId="0" fontId="0" fillId="0" borderId="167" xfId="0" applyBorder="1" applyAlignment="1">
      <alignment/>
    </xf>
    <xf numFmtId="0" fontId="15" fillId="5" borderId="168" xfId="0" applyFont="1" applyFill="1" applyBorder="1" applyAlignment="1">
      <alignment/>
    </xf>
    <xf numFmtId="0" fontId="10" fillId="0" borderId="66" xfId="0" applyFont="1" applyBorder="1" applyAlignment="1">
      <alignment/>
    </xf>
    <xf numFmtId="0" fontId="10" fillId="0" borderId="71" xfId="0" applyFont="1" applyBorder="1" applyAlignment="1">
      <alignment/>
    </xf>
    <xf numFmtId="0" fontId="12" fillId="4" borderId="98" xfId="0" applyFont="1" applyFill="1" applyBorder="1" applyAlignment="1">
      <alignment horizontal="right"/>
    </xf>
    <xf numFmtId="0" fontId="12" fillId="4" borderId="84" xfId="0" applyFont="1" applyFill="1" applyBorder="1" applyAlignment="1">
      <alignment horizontal="right"/>
    </xf>
    <xf numFmtId="0" fontId="16" fillId="0" borderId="165" xfId="0" applyFont="1" applyBorder="1" applyAlignment="1">
      <alignment horizontal="right"/>
    </xf>
    <xf numFmtId="0" fontId="16" fillId="0" borderId="70" xfId="0" applyFont="1" applyBorder="1" applyAlignment="1">
      <alignment horizontal="right"/>
    </xf>
    <xf numFmtId="0" fontId="16" fillId="0" borderId="83" xfId="0" applyFont="1" applyBorder="1" applyAlignment="1">
      <alignment horizontal="right"/>
    </xf>
    <xf numFmtId="0" fontId="16" fillId="0" borderId="164" xfId="0" applyFont="1" applyBorder="1" applyAlignment="1">
      <alignment horizontal="right"/>
    </xf>
    <xf numFmtId="0" fontId="12" fillId="5" borderId="11" xfId="0" applyFont="1" applyFill="1" applyBorder="1" applyAlignment="1">
      <alignment horizontal="center"/>
    </xf>
    <xf numFmtId="0" fontId="12" fillId="0" borderId="164" xfId="0" applyFont="1" applyBorder="1" applyAlignment="1">
      <alignment/>
    </xf>
    <xf numFmtId="0" fontId="0" fillId="2" borderId="156" xfId="0" applyFill="1" applyBorder="1" applyAlignment="1" applyProtection="1">
      <alignment vertical="center" textRotation="90"/>
      <protection/>
    </xf>
    <xf numFmtId="0" fontId="0" fillId="2" borderId="157" xfId="0" applyFill="1" applyBorder="1" applyAlignment="1" applyProtection="1">
      <alignment vertical="center" textRotation="90"/>
      <protection/>
    </xf>
    <xf numFmtId="0" fontId="0" fillId="2" borderId="159" xfId="0" applyFill="1" applyBorder="1" applyAlignment="1" applyProtection="1">
      <alignment vertical="center" textRotation="90"/>
      <protection/>
    </xf>
    <xf numFmtId="0" fontId="0" fillId="2" borderId="157" xfId="0" applyFill="1" applyBorder="1" applyAlignment="1" applyProtection="1">
      <alignment vertical="center"/>
      <protection/>
    </xf>
    <xf numFmtId="0" fontId="0" fillId="2" borderId="158" xfId="0" applyFill="1" applyBorder="1" applyAlignment="1" applyProtection="1">
      <alignment vertical="center"/>
      <protection/>
    </xf>
    <xf numFmtId="0" fontId="0" fillId="11" borderId="121" xfId="0" applyFill="1" applyBorder="1" applyAlignment="1">
      <alignment/>
    </xf>
    <xf numFmtId="0" fontId="0" fillId="2" borderId="158" xfId="0" applyFill="1" applyBorder="1" applyAlignment="1" applyProtection="1">
      <alignment vertical="center" textRotation="90"/>
      <protection/>
    </xf>
    <xf numFmtId="0" fontId="12" fillId="3" borderId="145" xfId="0" applyFont="1" applyFill="1" applyBorder="1" applyAlignment="1">
      <alignment horizontal="right"/>
    </xf>
    <xf numFmtId="0" fontId="0" fillId="3" borderId="86" xfId="0" applyFill="1" applyBorder="1" applyAlignment="1">
      <alignment/>
    </xf>
    <xf numFmtId="0" fontId="12" fillId="2" borderId="68" xfId="0" applyFont="1" applyFill="1" applyBorder="1" applyAlignment="1">
      <alignment horizontal="right"/>
    </xf>
    <xf numFmtId="0" fontId="12" fillId="2" borderId="71" xfId="0" applyFont="1" applyFill="1" applyBorder="1" applyAlignment="1">
      <alignment horizontal="right"/>
    </xf>
    <xf numFmtId="0" fontId="15" fillId="3" borderId="168" xfId="0" applyFont="1" applyFill="1" applyBorder="1" applyAlignment="1">
      <alignment/>
    </xf>
    <xf numFmtId="0" fontId="15" fillId="3" borderId="66" xfId="0" applyFont="1" applyFill="1" applyBorder="1" applyAlignment="1">
      <alignment/>
    </xf>
    <xf numFmtId="0" fontId="15" fillId="3" borderId="71" xfId="0" applyFont="1" applyFill="1" applyBorder="1" applyAlignment="1">
      <alignment/>
    </xf>
    <xf numFmtId="0" fontId="12" fillId="6" borderId="120" xfId="0" applyFont="1" applyFill="1" applyBorder="1" applyAlignment="1">
      <alignment/>
    </xf>
    <xf numFmtId="0" fontId="0" fillId="0" borderId="50" xfId="0" applyBorder="1" applyAlignment="1">
      <alignment/>
    </xf>
    <xf numFmtId="0" fontId="0" fillId="0" borderId="44"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40"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Regression!$I$78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Regression!$H$9:$H$78</c:f>
              <c:numCache>
                <c:ptCount val="70"/>
                <c:pt idx="0">
                  <c:v>43.79999999999999</c:v>
                </c:pt>
                <c:pt idx="1">
                  <c:v>11.6</c:v>
                </c:pt>
                <c:pt idx="2">
                  <c:v>36.43333333333333</c:v>
                </c:pt>
                <c:pt idx="3">
                  <c:v>40.63333333333333</c:v>
                </c:pt>
                <c:pt idx="4">
                  <c:v>16.433333333333334</c:v>
                </c:pt>
                <c:pt idx="5">
                  <c:v>25.200000000000003</c:v>
                </c:pt>
                <c:pt idx="6">
                  <c:v>48.5</c:v>
                </c:pt>
                <c:pt idx="7">
                  <c:v>32.56666666666666</c:v>
                </c:pt>
                <c:pt idx="8">
                  <c:v>12.366666666666667</c:v>
                </c:pt>
                <c:pt idx="9">
                  <c:v>37.73333333333333</c:v>
                </c:pt>
                <c:pt idx="10">
                  <c:v>8.966666666666667</c:v>
                </c:pt>
                <c:pt idx="11">
                  <c:v>0</c:v>
                </c:pt>
                <c:pt idx="12">
                  <c:v>30.233333333333334</c:v>
                </c:pt>
                <c:pt idx="13">
                  <c:v>11.4</c:v>
                </c:pt>
                <c:pt idx="14">
                  <c:v>26.3</c:v>
                </c:pt>
                <c:pt idx="15">
                  <c:v>45.46666666666666</c:v>
                </c:pt>
                <c:pt idx="16">
                  <c:v>46.699999999999996</c:v>
                </c:pt>
                <c:pt idx="17">
                  <c:v>12.05</c:v>
                </c:pt>
                <c:pt idx="18">
                  <c:v>40.3</c:v>
                </c:pt>
                <c:pt idx="19">
                  <c:v>7.15</c:v>
                </c:pt>
                <c:pt idx="20">
                  <c:v>14.833333333333334</c:v>
                </c:pt>
                <c:pt idx="21">
                  <c:v>31.83333333333333</c:v>
                </c:pt>
                <c:pt idx="22">
                  <c:v>13.066666666666668</c:v>
                </c:pt>
                <c:pt idx="23">
                  <c:v>26</c:v>
                </c:pt>
                <c:pt idx="24">
                  <c:v>48.26666666666667</c:v>
                </c:pt>
                <c:pt idx="25">
                  <c:v>45.70000000000001</c:v>
                </c:pt>
                <c:pt idx="26">
                  <c:v>21.96666666666667</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xVal>
          <c:yVal>
            <c:numRef>
              <c:f>Regression!$J$9:$J$78</c:f>
              <c:numCache>
                <c:ptCount val="70"/>
                <c:pt idx="0">
                  <c:v>43.13333333333333</c:v>
                </c:pt>
                <c:pt idx="1">
                  <c:v>11.166666666666666</c:v>
                </c:pt>
                <c:pt idx="2">
                  <c:v>37.1</c:v>
                </c:pt>
                <c:pt idx="3">
                  <c:v>42</c:v>
                </c:pt>
                <c:pt idx="4">
                  <c:v>19.533333333333335</c:v>
                </c:pt>
                <c:pt idx="5">
                  <c:v>24.2</c:v>
                </c:pt>
                <c:pt idx="6">
                  <c:v>46.56666666666666</c:v>
                </c:pt>
                <c:pt idx="7">
                  <c:v>34.63333333333333</c:v>
                </c:pt>
                <c:pt idx="8">
                  <c:v>11.433333333333332</c:v>
                </c:pt>
                <c:pt idx="9">
                  <c:v>36.766666666666666</c:v>
                </c:pt>
                <c:pt idx="10">
                  <c:v>7.8999999999999995</c:v>
                </c:pt>
                <c:pt idx="11">
                  <c:v>0</c:v>
                </c:pt>
                <c:pt idx="12">
                  <c:v>30.96666666666667</c:v>
                </c:pt>
                <c:pt idx="13">
                  <c:v>12.200000000000001</c:v>
                </c:pt>
                <c:pt idx="14">
                  <c:v>26.7</c:v>
                </c:pt>
                <c:pt idx="15">
                  <c:v>46.76666666666667</c:v>
                </c:pt>
                <c:pt idx="16">
                  <c:v>47</c:v>
                </c:pt>
                <c:pt idx="17">
                  <c:v>11.699999999999998</c:v>
                </c:pt>
                <c:pt idx="18">
                  <c:v>40.400000000000006</c:v>
                </c:pt>
                <c:pt idx="19">
                  <c:v>5.800000000000001</c:v>
                </c:pt>
                <c:pt idx="20">
                  <c:v>15.4</c:v>
                </c:pt>
                <c:pt idx="21">
                  <c:v>30.566666666666666</c:v>
                </c:pt>
                <c:pt idx="22">
                  <c:v>14.066666666666668</c:v>
                </c:pt>
                <c:pt idx="23">
                  <c:v>27.100000000000005</c:v>
                </c:pt>
                <c:pt idx="24">
                  <c:v>48.833333333333336</c:v>
                </c:pt>
                <c:pt idx="25">
                  <c:v>47.5</c:v>
                </c:pt>
                <c:pt idx="26">
                  <c:v>21.766666666666666</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ser>
        <c:axId val="26747805"/>
        <c:axId val="39403654"/>
      </c:scatterChart>
      <c:valAx>
        <c:axId val="26747805"/>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39403654"/>
        <c:crosses val="autoZero"/>
        <c:crossBetween val="midCat"/>
        <c:dispUnits/>
      </c:valAx>
      <c:valAx>
        <c:axId val="39403654"/>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26747805"/>
        <c:crosses val="autoZero"/>
        <c:crossBetween val="midCat"/>
        <c:dispUnits/>
      </c:valAx>
      <c:spPr>
        <a:solidFill>
          <a:srgbClr val="FFFF99"/>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Precision (CV) versus concentration*</a:t>
            </a:r>
          </a:p>
        </c:rich>
      </c:tx>
      <c:layout/>
      <c:spPr>
        <a:noFill/>
        <a:ln>
          <a:noFill/>
        </a:ln>
      </c:spPr>
    </c:title>
    <c:plotArea>
      <c:layout>
        <c:manualLayout>
          <c:xMode val="edge"/>
          <c:yMode val="edge"/>
          <c:x val="0.16075"/>
          <c:y val="0.18575"/>
          <c:w val="0.83475"/>
          <c:h val="0.6945"/>
        </c:manualLayout>
      </c:layout>
      <c:scatterChart>
        <c:scatterStyle val="lineMarker"/>
        <c:varyColors val="0"/>
        <c:ser>
          <c:idx val="0"/>
          <c:order val="0"/>
          <c:tx>
            <c:strRef>
              <c:f>Precision!$N$9</c:f>
              <c:strCache>
                <c:ptCount val="1"/>
                <c:pt idx="0">
                  <c:v>1.8%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Precision!$H$10:$H$78</c:f>
              <c:numCache>
                <c:ptCount val="69"/>
                <c:pt idx="0">
                  <c:v>11.6</c:v>
                </c:pt>
                <c:pt idx="1">
                  <c:v>36.43333333333333</c:v>
                </c:pt>
                <c:pt idx="2">
                  <c:v>40.63333333333333</c:v>
                </c:pt>
                <c:pt idx="3">
                  <c:v>16.433333333333334</c:v>
                </c:pt>
                <c:pt idx="4">
                  <c:v>25.200000000000003</c:v>
                </c:pt>
                <c:pt idx="5">
                  <c:v>48.5</c:v>
                </c:pt>
                <c:pt idx="6">
                  <c:v>32.56666666666666</c:v>
                </c:pt>
                <c:pt idx="7">
                  <c:v>12.366666666666667</c:v>
                </c:pt>
                <c:pt idx="8">
                  <c:v>37.73333333333333</c:v>
                </c:pt>
                <c:pt idx="9">
                  <c:v>8.966666666666667</c:v>
                </c:pt>
                <c:pt idx="10">
                  <c:v>0</c:v>
                </c:pt>
                <c:pt idx="11">
                  <c:v>30.233333333333334</c:v>
                </c:pt>
                <c:pt idx="12">
                  <c:v>11.4</c:v>
                </c:pt>
                <c:pt idx="13">
                  <c:v>26.3</c:v>
                </c:pt>
                <c:pt idx="14">
                  <c:v>45.46666666666666</c:v>
                </c:pt>
                <c:pt idx="15">
                  <c:v>46.699999999999996</c:v>
                </c:pt>
                <c:pt idx="16">
                  <c:v>12.05</c:v>
                </c:pt>
                <c:pt idx="17">
                  <c:v>40.3</c:v>
                </c:pt>
                <c:pt idx="18">
                  <c:v>7.15</c:v>
                </c:pt>
                <c:pt idx="19">
                  <c:v>14.833333333333334</c:v>
                </c:pt>
                <c:pt idx="20">
                  <c:v>31.83333333333333</c:v>
                </c:pt>
                <c:pt idx="21">
                  <c:v>13.066666666666668</c:v>
                </c:pt>
                <c:pt idx="22">
                  <c:v>26</c:v>
                </c:pt>
                <c:pt idx="23">
                  <c:v>48.26666666666667</c:v>
                </c:pt>
                <c:pt idx="24">
                  <c:v>45.70000000000001</c:v>
                </c:pt>
                <c:pt idx="25">
                  <c:v>21.96666666666667</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xVal>
          <c:yVal>
            <c:numRef>
              <c:f>Precision!$N$10:$N$78</c:f>
              <c:numCache>
                <c:ptCount val="69"/>
                <c:pt idx="0">
                  <c:v>0.1760181849290226</c:v>
                </c:pt>
                <c:pt idx="1">
                  <c:v>0.02349810751235202</c:v>
                </c:pt>
                <c:pt idx="2">
                  <c:v>0.05016977977548954</c:v>
                </c:pt>
                <c:pt idx="3">
                  <c:v>0.06401023663314233</c:v>
                </c:pt>
                <c:pt idx="4">
                  <c:v>0.10020128638828406</c:v>
                </c:pt>
                <c:pt idx="5">
                  <c:v>0.03973282487152573</c:v>
                </c:pt>
                <c:pt idx="6">
                  <c:v>0.027442882443469013</c:v>
                </c:pt>
                <c:pt idx="7">
                  <c:v>0.22880261409018626</c:v>
                </c:pt>
                <c:pt idx="8">
                  <c:v>0.024529010441465465</c:v>
                </c:pt>
                <c:pt idx="9">
                  <c:v>0.2217900692143698</c:v>
                </c:pt>
                <c:pt idx="10">
                  <c:v>0</c:v>
                </c:pt>
                <c:pt idx="11">
                  <c:v>0.05688788056716094</c:v>
                </c:pt>
                <c:pt idx="12">
                  <c:v>0.09663791903730769</c:v>
                </c:pt>
                <c:pt idx="13">
                  <c:v>0.09563404745171468</c:v>
                </c:pt>
                <c:pt idx="14">
                  <c:v>0.01940222036894068</c:v>
                </c:pt>
                <c:pt idx="15">
                  <c:v>0.049852657505786165</c:v>
                </c:pt>
                <c:pt idx="16">
                  <c:v>0.03916731363210725</c:v>
                </c:pt>
                <c:pt idx="17">
                  <c:v>0.05445544554455015</c:v>
                </c:pt>
                <c:pt idx="18">
                  <c:v>0.38974670880887285</c:v>
                </c:pt>
                <c:pt idx="19">
                  <c:v>0.1141454274756301</c:v>
                </c:pt>
                <c:pt idx="20">
                  <c:v>0.024554700652556438</c:v>
                </c:pt>
                <c:pt idx="21">
                  <c:v>0.16767810019274393</c:v>
                </c:pt>
                <c:pt idx="22">
                  <c:v>0.07380073800738006</c:v>
                </c:pt>
                <c:pt idx="23">
                  <c:v>0.0483871907124847</c:v>
                </c:pt>
                <c:pt idx="24">
                  <c:v>0.026378871760295804</c:v>
                </c:pt>
                <c:pt idx="25">
                  <c:v>0.06662882057521706</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ser>
        <c:axId val="19088567"/>
        <c:axId val="37579376"/>
      </c:scatterChart>
      <c:valAx>
        <c:axId val="19088567"/>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579376"/>
        <c:crosses val="autoZero"/>
        <c:crossBetween val="midCat"/>
        <c:dispUnits/>
        <c:majorUnit val="20"/>
      </c:valAx>
      <c:valAx>
        <c:axId val="37579376"/>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088567"/>
        <c:crosses val="autoZero"/>
        <c:crossBetween val="midCat"/>
        <c:dispUnits/>
        <c:minorUnit val="0.02"/>
      </c:valAx>
      <c:spPr>
        <a:solidFill>
          <a:srgbClr val="CCFFCC"/>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0.9</c:v>
                </c:pt>
                <c:pt idx="1">
                  <c:v>0.9886363636363638</c:v>
                </c:pt>
                <c:pt idx="2">
                  <c:v>1.1</c:v>
                </c:pt>
                <c:pt idx="3">
                  <c:v>1.1</c:v>
                </c:pt>
                <c:pt idx="4">
                  <c:v>0.9844110854503464</c:v>
                </c:pt>
                <c:pt idx="5">
                  <c:v>0.9</c:v>
                </c:pt>
                <c:pt idx="6">
                  <c:v>0.9</c:v>
                </c:pt>
              </c:numCache>
            </c:numRef>
          </c:xVal>
          <c:yVal>
            <c:numRef>
              <c:f>Summary!$Q$70:$Q$76</c:f>
              <c:numCache>
                <c:ptCount val="7"/>
                <c:pt idx="0">
                  <c:v>2</c:v>
                </c:pt>
                <c:pt idx="1">
                  <c:v>2</c:v>
                </c:pt>
                <c:pt idx="2">
                  <c:v>0.5300000000000011</c:v>
                </c:pt>
                <c:pt idx="3">
                  <c:v>-2</c:v>
                </c:pt>
                <c:pt idx="4">
                  <c:v>-2</c:v>
                </c:pt>
                <c:pt idx="5">
                  <c:v>-0.5380000000000003</c:v>
                </c:pt>
                <c:pt idx="6">
                  <c:v>2</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ptCount val="1"/>
                <c:pt idx="0">
                  <c:v>1.009247910069822</c:v>
                </c:pt>
              </c:numCache>
            </c:numRef>
          </c:xVal>
          <c:yVal>
            <c:numRef>
              <c:f>Summary!$I$24</c:f>
              <c:numCache>
                <c:ptCount val="1"/>
                <c:pt idx="0">
                  <c:v>-0.042378379090543206</c:v>
                </c:pt>
              </c:numCache>
            </c:numRef>
          </c:yVal>
          <c:smooth val="0"/>
        </c:ser>
        <c:axId val="2670065"/>
        <c:axId val="24030586"/>
      </c:scatterChart>
      <c:valAx>
        <c:axId val="2670065"/>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24030586"/>
        <c:crossesAt val="-12"/>
        <c:crossBetween val="midCat"/>
        <c:dispUnits/>
      </c:valAx>
      <c:valAx>
        <c:axId val="24030586"/>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2670065"/>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95250</xdr:rowOff>
    </xdr:from>
    <xdr:to>
      <xdr:col>3</xdr:col>
      <xdr:colOff>495300</xdr:colOff>
      <xdr:row>3</xdr:row>
      <xdr:rowOff>238125</xdr:rowOff>
    </xdr:to>
    <xdr:pic>
      <xdr:nvPicPr>
        <xdr:cNvPr id="1" name="Picture 1"/>
        <xdr:cNvPicPr preferRelativeResize="1">
          <a:picLocks noChangeAspect="1"/>
        </xdr:cNvPicPr>
      </xdr:nvPicPr>
      <xdr:blipFill>
        <a:blip r:embed="rId1"/>
        <a:stretch>
          <a:fillRect/>
        </a:stretch>
      </xdr:blipFill>
      <xdr:spPr>
        <a:xfrm>
          <a:off x="219075" y="219075"/>
          <a:ext cx="1619250"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38162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7640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38162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33"/>
  <sheetViews>
    <sheetView showGridLines="0" tabSelected="1" workbookViewId="0" topLeftCell="A1">
      <selection activeCell="A1" sqref="A1"/>
    </sheetView>
  </sheetViews>
  <sheetFormatPr defaultColWidth="9.140625" defaultRowHeight="12.75"/>
  <cols>
    <col min="1" max="1" width="1.7109375" style="464" customWidth="1"/>
    <col min="2" max="2" width="1.57421875" style="464" customWidth="1"/>
    <col min="3" max="3" width="16.8515625" style="464" customWidth="1"/>
    <col min="4" max="4" width="9.140625" style="464" customWidth="1"/>
    <col min="5" max="5" width="4.28125" style="464" customWidth="1"/>
    <col min="6" max="6" width="7.00390625" style="464" customWidth="1"/>
    <col min="7" max="7" width="9.140625" style="464" customWidth="1"/>
    <col min="8" max="8" width="32.8515625" style="464" customWidth="1"/>
    <col min="9" max="9" width="36.00390625" style="464" customWidth="1"/>
    <col min="10" max="10" width="1.1484375" style="464" customWidth="1"/>
    <col min="11" max="11" width="9.140625" style="464" customWidth="1"/>
    <col min="12" max="12" width="9.00390625" style="464" customWidth="1"/>
    <col min="13" max="13" width="1.57421875" style="464" customWidth="1"/>
    <col min="14" max="16384" width="9.140625" style="464" customWidth="1"/>
  </cols>
  <sheetData>
    <row r="1" ht="9.75" customHeight="1" thickBot="1"/>
    <row r="2" spans="2:10" ht="24" thickTop="1">
      <c r="B2" s="475"/>
      <c r="C2" s="475"/>
      <c r="D2" s="475"/>
      <c r="F2" s="468" t="s">
        <v>34</v>
      </c>
      <c r="G2" s="458"/>
      <c r="H2" s="458"/>
      <c r="I2" s="458"/>
      <c r="J2" s="459"/>
    </row>
    <row r="3" spans="2:10" ht="23.25">
      <c r="B3" s="475"/>
      <c r="C3" s="475"/>
      <c r="D3" s="475"/>
      <c r="F3" s="469" t="s">
        <v>35</v>
      </c>
      <c r="G3" s="460"/>
      <c r="H3" s="460"/>
      <c r="I3" s="460"/>
      <c r="J3" s="461"/>
    </row>
    <row r="4" spans="2:10" ht="27.75" customHeight="1">
      <c r="B4" s="475"/>
      <c r="C4" s="475"/>
      <c r="D4" s="475"/>
      <c r="E4" s="465"/>
      <c r="F4" s="476" t="s">
        <v>160</v>
      </c>
      <c r="G4" s="460"/>
      <c r="H4" s="460"/>
      <c r="I4" s="460"/>
      <c r="J4" s="461"/>
    </row>
    <row r="5" spans="5:10" ht="25.5" customHeight="1" thickBot="1">
      <c r="E5" s="466"/>
      <c r="F5" s="470" t="s">
        <v>0</v>
      </c>
      <c r="G5" s="462"/>
      <c r="H5" s="462"/>
      <c r="I5" s="462"/>
      <c r="J5" s="463"/>
    </row>
    <row r="6" ht="14.25" thickBot="1" thickTop="1"/>
    <row r="7" spans="2:12" ht="19.5">
      <c r="B7" s="513"/>
      <c r="C7" s="514" t="s">
        <v>155</v>
      </c>
      <c r="D7" s="515"/>
      <c r="E7" s="515"/>
      <c r="F7" s="515"/>
      <c r="G7" s="515"/>
      <c r="H7" s="515"/>
      <c r="I7" s="515"/>
      <c r="J7" s="515"/>
      <c r="K7" s="515"/>
      <c r="L7" s="516"/>
    </row>
    <row r="8" spans="2:12" ht="41.25" customHeight="1">
      <c r="B8" s="517"/>
      <c r="C8" s="590" t="s">
        <v>156</v>
      </c>
      <c r="D8" s="590"/>
      <c r="E8" s="590"/>
      <c r="F8" s="590"/>
      <c r="G8" s="590"/>
      <c r="H8" s="590"/>
      <c r="I8" s="590"/>
      <c r="J8" s="590"/>
      <c r="K8" s="590"/>
      <c r="L8" s="591"/>
    </row>
    <row r="9" spans="2:12" ht="4.5" customHeight="1">
      <c r="B9" s="517"/>
      <c r="C9" s="520"/>
      <c r="D9" s="520"/>
      <c r="E9" s="520"/>
      <c r="F9" s="520"/>
      <c r="G9" s="520"/>
      <c r="H9" s="520"/>
      <c r="I9" s="520"/>
      <c r="J9" s="520"/>
      <c r="K9" s="520"/>
      <c r="L9" s="521"/>
    </row>
    <row r="10" spans="2:12" ht="23.25" customHeight="1">
      <c r="B10" s="526"/>
      <c r="C10" s="592" t="s">
        <v>159</v>
      </c>
      <c r="D10" s="592"/>
      <c r="E10" s="592"/>
      <c r="F10" s="592"/>
      <c r="G10" s="592"/>
      <c r="H10" s="592"/>
      <c r="I10" s="592"/>
      <c r="J10" s="592"/>
      <c r="K10" s="592"/>
      <c r="L10" s="593"/>
    </row>
    <row r="11" spans="2:12" ht="6" customHeight="1">
      <c r="B11" s="517"/>
      <c r="C11" s="518"/>
      <c r="D11" s="522"/>
      <c r="E11" s="522"/>
      <c r="F11" s="522"/>
      <c r="G11" s="522"/>
      <c r="H11" s="522"/>
      <c r="I11" s="522"/>
      <c r="J11" s="522"/>
      <c r="K11" s="522"/>
      <c r="L11" s="519"/>
    </row>
    <row r="12" spans="2:12" ht="27" customHeight="1">
      <c r="B12" s="517"/>
      <c r="C12" s="590" t="s">
        <v>179</v>
      </c>
      <c r="D12" s="590"/>
      <c r="E12" s="590"/>
      <c r="F12" s="590"/>
      <c r="G12" s="590"/>
      <c r="H12" s="590"/>
      <c r="I12" s="590"/>
      <c r="J12" s="590"/>
      <c r="K12" s="590"/>
      <c r="L12" s="591"/>
    </row>
    <row r="13" spans="2:12" ht="6.75" customHeight="1">
      <c r="B13" s="517"/>
      <c r="C13" s="520"/>
      <c r="D13" s="520"/>
      <c r="E13" s="520"/>
      <c r="F13" s="520"/>
      <c r="G13" s="520"/>
      <c r="H13" s="520"/>
      <c r="I13" s="520"/>
      <c r="J13" s="520"/>
      <c r="K13" s="520"/>
      <c r="L13" s="521"/>
    </row>
    <row r="14" spans="2:12" ht="26.25" customHeight="1">
      <c r="B14" s="517"/>
      <c r="C14" s="590" t="s">
        <v>157</v>
      </c>
      <c r="D14" s="590"/>
      <c r="E14" s="590"/>
      <c r="F14" s="590"/>
      <c r="G14" s="590"/>
      <c r="H14" s="590"/>
      <c r="I14" s="590"/>
      <c r="J14" s="590"/>
      <c r="K14" s="590"/>
      <c r="L14" s="591"/>
    </row>
    <row r="15" spans="2:12" ht="6.75" customHeight="1">
      <c r="B15" s="517"/>
      <c r="C15" s="520"/>
      <c r="D15" s="520"/>
      <c r="E15" s="520"/>
      <c r="F15" s="520"/>
      <c r="G15" s="520"/>
      <c r="H15" s="520"/>
      <c r="I15" s="520"/>
      <c r="J15" s="520"/>
      <c r="K15" s="520"/>
      <c r="L15" s="521"/>
    </row>
    <row r="16" spans="2:12" ht="50.25" customHeight="1">
      <c r="B16" s="517"/>
      <c r="C16" s="590" t="s">
        <v>158</v>
      </c>
      <c r="D16" s="590"/>
      <c r="E16" s="590"/>
      <c r="F16" s="590"/>
      <c r="G16" s="590"/>
      <c r="H16" s="590"/>
      <c r="I16" s="590"/>
      <c r="J16" s="590"/>
      <c r="K16" s="590"/>
      <c r="L16" s="591"/>
    </row>
    <row r="17" spans="2:12" ht="6" customHeight="1">
      <c r="B17" s="517"/>
      <c r="C17" s="520"/>
      <c r="D17" s="520"/>
      <c r="E17" s="520"/>
      <c r="F17" s="520"/>
      <c r="G17" s="520"/>
      <c r="H17" s="520"/>
      <c r="I17" s="520"/>
      <c r="J17" s="520"/>
      <c r="K17" s="520"/>
      <c r="L17" s="521"/>
    </row>
    <row r="18" spans="2:12" ht="51.75" customHeight="1">
      <c r="B18" s="517"/>
      <c r="C18" s="590" t="s">
        <v>165</v>
      </c>
      <c r="D18" s="590"/>
      <c r="E18" s="590"/>
      <c r="F18" s="590"/>
      <c r="G18" s="590"/>
      <c r="H18" s="590"/>
      <c r="I18" s="590"/>
      <c r="J18" s="590"/>
      <c r="K18" s="590"/>
      <c r="L18" s="591"/>
    </row>
    <row r="19" spans="2:12" ht="6" customHeight="1">
      <c r="B19" s="517"/>
      <c r="C19" s="520"/>
      <c r="D19" s="520"/>
      <c r="E19" s="520"/>
      <c r="F19" s="520"/>
      <c r="G19" s="520"/>
      <c r="H19" s="520"/>
      <c r="I19" s="520"/>
      <c r="J19" s="520"/>
      <c r="K19" s="520"/>
      <c r="L19" s="521"/>
    </row>
    <row r="20" spans="2:12" ht="39" customHeight="1">
      <c r="B20" s="517"/>
      <c r="C20" s="590" t="s">
        <v>173</v>
      </c>
      <c r="D20" s="590"/>
      <c r="E20" s="590"/>
      <c r="F20" s="590"/>
      <c r="G20" s="590"/>
      <c r="H20" s="590"/>
      <c r="I20" s="590"/>
      <c r="J20" s="590"/>
      <c r="K20" s="590"/>
      <c r="L20" s="591"/>
    </row>
    <row r="21" spans="2:12" ht="5.25" customHeight="1">
      <c r="B21" s="517"/>
      <c r="C21" s="520"/>
      <c r="D21" s="520"/>
      <c r="E21" s="520"/>
      <c r="F21" s="520"/>
      <c r="G21" s="520"/>
      <c r="H21" s="520"/>
      <c r="I21" s="520"/>
      <c r="J21" s="520"/>
      <c r="K21" s="520"/>
      <c r="L21" s="521"/>
    </row>
    <row r="22" spans="2:12" ht="78.75" customHeight="1">
      <c r="B22" s="517"/>
      <c r="C22" s="590" t="s">
        <v>174</v>
      </c>
      <c r="D22" s="590"/>
      <c r="E22" s="590"/>
      <c r="F22" s="590"/>
      <c r="G22" s="590"/>
      <c r="H22" s="590"/>
      <c r="I22" s="590"/>
      <c r="J22" s="590"/>
      <c r="K22" s="590"/>
      <c r="L22" s="591"/>
    </row>
    <row r="23" spans="2:12" ht="6" customHeight="1">
      <c r="B23" s="517"/>
      <c r="C23" s="520"/>
      <c r="D23" s="520"/>
      <c r="E23" s="520"/>
      <c r="F23" s="520"/>
      <c r="G23" s="520"/>
      <c r="H23" s="520"/>
      <c r="I23" s="520"/>
      <c r="J23" s="520"/>
      <c r="K23" s="520"/>
      <c r="L23" s="521"/>
    </row>
    <row r="24" spans="2:12" ht="50.25" customHeight="1">
      <c r="B24" s="517"/>
      <c r="C24" s="590" t="s">
        <v>176</v>
      </c>
      <c r="D24" s="590"/>
      <c r="E24" s="590"/>
      <c r="F24" s="590"/>
      <c r="G24" s="590"/>
      <c r="H24" s="590"/>
      <c r="I24" s="590"/>
      <c r="J24" s="590"/>
      <c r="K24" s="590"/>
      <c r="L24" s="591"/>
    </row>
    <row r="25" spans="2:12" ht="6.75" customHeight="1">
      <c r="B25" s="517"/>
      <c r="C25" s="520"/>
      <c r="D25" s="520"/>
      <c r="E25" s="520"/>
      <c r="F25" s="520"/>
      <c r="G25" s="520"/>
      <c r="H25" s="520"/>
      <c r="I25" s="520"/>
      <c r="J25" s="520"/>
      <c r="K25" s="520"/>
      <c r="L25" s="521"/>
    </row>
    <row r="26" spans="2:12" ht="39" customHeight="1">
      <c r="B26" s="517"/>
      <c r="C26" s="590" t="s">
        <v>175</v>
      </c>
      <c r="D26" s="590"/>
      <c r="E26" s="590"/>
      <c r="F26" s="590"/>
      <c r="G26" s="590"/>
      <c r="H26" s="590"/>
      <c r="I26" s="590"/>
      <c r="J26" s="590"/>
      <c r="K26" s="590"/>
      <c r="L26" s="591"/>
    </row>
    <row r="27" spans="2:12" ht="6.75" customHeight="1">
      <c r="B27" s="517"/>
      <c r="C27" s="520"/>
      <c r="D27" s="520"/>
      <c r="E27" s="520"/>
      <c r="F27" s="520"/>
      <c r="G27" s="520"/>
      <c r="H27" s="520"/>
      <c r="I27" s="520"/>
      <c r="J27" s="520"/>
      <c r="K27" s="520"/>
      <c r="L27" s="521"/>
    </row>
    <row r="28" spans="2:12" ht="23.25" customHeight="1">
      <c r="B28" s="517"/>
      <c r="C28" s="590" t="s">
        <v>177</v>
      </c>
      <c r="D28" s="590"/>
      <c r="E28" s="590"/>
      <c r="F28" s="590"/>
      <c r="G28" s="590"/>
      <c r="H28" s="590"/>
      <c r="I28" s="590"/>
      <c r="J28" s="590"/>
      <c r="K28" s="590"/>
      <c r="L28" s="591"/>
    </row>
    <row r="29" spans="2:12" ht="6.75" customHeight="1">
      <c r="B29" s="517"/>
      <c r="C29" s="520"/>
      <c r="D29" s="520"/>
      <c r="E29" s="520"/>
      <c r="F29" s="520"/>
      <c r="G29" s="520"/>
      <c r="H29" s="520"/>
      <c r="I29" s="520"/>
      <c r="J29" s="520"/>
      <c r="K29" s="520"/>
      <c r="L29" s="521"/>
    </row>
    <row r="30" spans="2:12" ht="25.5" customHeight="1">
      <c r="B30" s="517"/>
      <c r="C30" s="590" t="s">
        <v>178</v>
      </c>
      <c r="D30" s="590"/>
      <c r="E30" s="590"/>
      <c r="F30" s="590"/>
      <c r="G30" s="590"/>
      <c r="H30" s="590"/>
      <c r="I30" s="590"/>
      <c r="J30" s="590"/>
      <c r="K30" s="590"/>
      <c r="L30" s="591"/>
    </row>
    <row r="31" spans="2:12" ht="13.5" thickBot="1">
      <c r="B31" s="523"/>
      <c r="C31" s="524"/>
      <c r="D31" s="524"/>
      <c r="E31" s="524"/>
      <c r="F31" s="524"/>
      <c r="G31" s="524"/>
      <c r="H31" s="524"/>
      <c r="I31" s="524"/>
      <c r="J31" s="524"/>
      <c r="K31" s="524"/>
      <c r="L31" s="525"/>
    </row>
    <row r="33" ht="12.75">
      <c r="I33" s="467" t="s">
        <v>172</v>
      </c>
    </row>
  </sheetData>
  <sheetProtection sheet="1" objects="1" scenarios="1" selectLockedCells="1"/>
  <mergeCells count="12">
    <mergeCell ref="C26:L26"/>
    <mergeCell ref="C28:L28"/>
    <mergeCell ref="C30:L30"/>
    <mergeCell ref="C18:L18"/>
    <mergeCell ref="C20:L20"/>
    <mergeCell ref="C22:L22"/>
    <mergeCell ref="C24:L24"/>
    <mergeCell ref="C8:L8"/>
    <mergeCell ref="C14:L14"/>
    <mergeCell ref="C16:L16"/>
    <mergeCell ref="C12:L12"/>
    <mergeCell ref="C10:L10"/>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6"/>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5.421875" style="0" customWidth="1"/>
    <col min="9" max="9" width="1.421875" style="0" customWidth="1"/>
    <col min="10" max="10" width="8.28125" style="0" customWidth="1"/>
  </cols>
  <sheetData>
    <row r="1" ht="9.75" customHeight="1" thickBot="1"/>
    <row r="2" spans="2:9" ht="24" customHeight="1" thickTop="1">
      <c r="B2" s="474"/>
      <c r="C2" s="474"/>
      <c r="E2" s="471" t="s">
        <v>34</v>
      </c>
      <c r="F2" s="17"/>
      <c r="G2" s="17"/>
      <c r="H2" s="17"/>
      <c r="I2" s="18"/>
    </row>
    <row r="3" spans="2:9" ht="24.75" customHeight="1">
      <c r="B3" s="474"/>
      <c r="C3" s="474"/>
      <c r="E3" s="472" t="s">
        <v>35</v>
      </c>
      <c r="F3" s="19"/>
      <c r="G3" s="19"/>
      <c r="H3" s="19"/>
      <c r="I3" s="20"/>
    </row>
    <row r="4" spans="2:9" ht="27" customHeight="1">
      <c r="B4" s="474"/>
      <c r="C4" s="474"/>
      <c r="D4" s="89"/>
      <c r="E4" s="501" t="s">
        <v>160</v>
      </c>
      <c r="F4" s="19"/>
      <c r="G4" s="19"/>
      <c r="H4" s="19"/>
      <c r="I4" s="20"/>
    </row>
    <row r="5" spans="2:9" ht="24" customHeight="1" thickBot="1">
      <c r="B5" s="248"/>
      <c r="C5" s="248"/>
      <c r="D5" s="23"/>
      <c r="E5" s="473" t="s">
        <v>1</v>
      </c>
      <c r="F5" s="21"/>
      <c r="G5" s="21"/>
      <c r="H5" s="21"/>
      <c r="I5" s="22"/>
    </row>
    <row r="6" ht="10.5" customHeight="1" thickBot="1" thickTop="1"/>
    <row r="7" spans="2:9" ht="15">
      <c r="B7" s="440" t="s">
        <v>151</v>
      </c>
      <c r="C7" s="257"/>
      <c r="E7" s="181" t="s">
        <v>2</v>
      </c>
      <c r="F7" s="1"/>
      <c r="G7" s="1"/>
      <c r="H7" s="1"/>
      <c r="I7" s="2"/>
    </row>
    <row r="8" spans="2:9" ht="14.25">
      <c r="B8" s="441" t="s">
        <v>138</v>
      </c>
      <c r="C8" s="263"/>
      <c r="E8" s="3" t="s">
        <v>3</v>
      </c>
      <c r="F8" s="4"/>
      <c r="G8" s="597" t="s">
        <v>171</v>
      </c>
      <c r="H8" s="596"/>
      <c r="I8" s="8"/>
    </row>
    <row r="9" spans="2:9" ht="14.25">
      <c r="B9" s="441" t="s">
        <v>142</v>
      </c>
      <c r="C9" s="263"/>
      <c r="E9" s="3" t="s">
        <v>152</v>
      </c>
      <c r="F9" s="4"/>
      <c r="G9" s="454"/>
      <c r="H9" s="457"/>
      <c r="I9" s="8"/>
    </row>
    <row r="10" spans="2:9" ht="14.25">
      <c r="B10" s="441"/>
      <c r="C10" s="263"/>
      <c r="E10" s="3" t="s">
        <v>4</v>
      </c>
      <c r="F10" s="4"/>
      <c r="G10" s="598"/>
      <c r="H10" s="599"/>
      <c r="I10" s="8"/>
    </row>
    <row r="11" spans="2:9" ht="14.25">
      <c r="B11" s="441" t="s">
        <v>137</v>
      </c>
      <c r="C11" s="263"/>
      <c r="E11" s="3" t="s">
        <v>4</v>
      </c>
      <c r="F11" s="4"/>
      <c r="G11" s="597"/>
      <c r="H11" s="596"/>
      <c r="I11" s="8"/>
    </row>
    <row r="12" spans="2:9" ht="14.25">
      <c r="B12" s="441" t="s">
        <v>139</v>
      </c>
      <c r="C12" s="263"/>
      <c r="E12" s="3" t="s">
        <v>4</v>
      </c>
      <c r="F12" s="4"/>
      <c r="G12" s="600"/>
      <c r="H12" s="601"/>
      <c r="I12" s="8"/>
    </row>
    <row r="13" spans="2:9" ht="14.25" customHeight="1" thickBot="1">
      <c r="B13" s="441" t="s">
        <v>143</v>
      </c>
      <c r="C13" s="263"/>
      <c r="E13" s="5"/>
      <c r="F13" s="6"/>
      <c r="G13" s="6"/>
      <c r="H13" s="6"/>
      <c r="I13" s="7"/>
    </row>
    <row r="14" spans="2:3" ht="9" customHeight="1" thickBot="1">
      <c r="B14" s="441"/>
      <c r="C14" s="263"/>
    </row>
    <row r="15" spans="2:9" ht="15">
      <c r="B15" s="441" t="s">
        <v>140</v>
      </c>
      <c r="C15" s="263"/>
      <c r="E15" s="182" t="s">
        <v>5</v>
      </c>
      <c r="F15" s="10"/>
      <c r="G15" s="10"/>
      <c r="H15" s="10"/>
      <c r="I15" s="11"/>
    </row>
    <row r="16" spans="2:9" ht="15.75" customHeight="1">
      <c r="B16" s="441" t="s">
        <v>141</v>
      </c>
      <c r="C16" s="263"/>
      <c r="E16" s="3" t="s">
        <v>61</v>
      </c>
      <c r="F16" s="12"/>
      <c r="G16" s="594" t="s">
        <v>168</v>
      </c>
      <c r="H16" s="596"/>
      <c r="I16" s="13"/>
    </row>
    <row r="17" spans="2:12" ht="15" customHeight="1">
      <c r="B17" s="441" t="s">
        <v>145</v>
      </c>
      <c r="C17" s="263"/>
      <c r="E17" s="3" t="s">
        <v>63</v>
      </c>
      <c r="F17" s="12"/>
      <c r="G17" s="267" t="s">
        <v>166</v>
      </c>
      <c r="H17" s="452"/>
      <c r="I17" s="13"/>
      <c r="K17" s="185"/>
      <c r="L17" s="185"/>
    </row>
    <row r="18" spans="2:9" ht="15.75" customHeight="1">
      <c r="B18" s="441"/>
      <c r="C18" s="263"/>
      <c r="E18" s="3" t="s">
        <v>62</v>
      </c>
      <c r="F18" s="12"/>
      <c r="G18" s="266" t="s">
        <v>167</v>
      </c>
      <c r="H18" s="452"/>
      <c r="I18" s="13"/>
    </row>
    <row r="19" spans="2:9" ht="13.5" thickBot="1">
      <c r="B19" s="441" t="s">
        <v>144</v>
      </c>
      <c r="C19" s="263"/>
      <c r="E19" s="14"/>
      <c r="F19" s="15"/>
      <c r="G19" s="15"/>
      <c r="H19" s="15"/>
      <c r="I19" s="16"/>
    </row>
    <row r="20" spans="2:3" ht="11.25" customHeight="1" thickBot="1">
      <c r="B20" s="441" t="s">
        <v>146</v>
      </c>
      <c r="C20" s="263"/>
    </row>
    <row r="21" spans="2:9" ht="15">
      <c r="B21" s="441"/>
      <c r="C21" s="263"/>
      <c r="E21" s="181" t="s">
        <v>6</v>
      </c>
      <c r="F21" s="10"/>
      <c r="G21" s="10"/>
      <c r="H21" s="10"/>
      <c r="I21" s="11"/>
    </row>
    <row r="22" spans="2:9" ht="15.75" customHeight="1">
      <c r="B22" s="455" t="s">
        <v>147</v>
      </c>
      <c r="C22" s="263"/>
      <c r="E22" s="3" t="s">
        <v>59</v>
      </c>
      <c r="F22" s="12"/>
      <c r="G22" s="594" t="s">
        <v>170</v>
      </c>
      <c r="H22" s="595"/>
      <c r="I22" s="13"/>
    </row>
    <row r="23" spans="2:9" ht="15.75" customHeight="1">
      <c r="B23" s="441"/>
      <c r="C23" s="263"/>
      <c r="E23" s="3" t="s">
        <v>60</v>
      </c>
      <c r="F23" s="12"/>
      <c r="G23" s="268" t="s">
        <v>169</v>
      </c>
      <c r="H23" s="453"/>
      <c r="I23" s="13"/>
    </row>
    <row r="24" spans="2:9" ht="13.5" thickBot="1">
      <c r="B24" s="456" t="s">
        <v>153</v>
      </c>
      <c r="C24" s="261"/>
      <c r="E24" s="14"/>
      <c r="F24" s="15"/>
      <c r="G24" s="15"/>
      <c r="H24" s="15"/>
      <c r="I24" s="16"/>
    </row>
    <row r="26" ht="14.25">
      <c r="B26" s="242" t="s">
        <v>148</v>
      </c>
    </row>
  </sheetData>
  <sheetProtection sheet="1" objects="1" scenarios="1" selectLockedCells="1"/>
  <mergeCells count="6">
    <mergeCell ref="G22:H22"/>
    <mergeCell ref="G16:H16"/>
    <mergeCell ref="G8:H8"/>
    <mergeCell ref="G10:H10"/>
    <mergeCell ref="G11:H11"/>
    <mergeCell ref="G12:H12"/>
  </mergeCells>
  <dataValidations count="4">
    <dataValidation type="list" allowBlank="1" showInputMessage="1" showErrorMessage="1" error="Please enter an A, B, C, or D." sqref="G23:H23">
      <formula1>"A, B, C, D"</formula1>
    </dataValidation>
    <dataValidation type="list" showErrorMessage="1" error="Please enter II or III." sqref="G18:H18">
      <formula1>"II,III"</formula1>
    </dataValidation>
    <dataValidation type="list" allowBlank="1" showInputMessage="1" showErrorMessage="1" error="Please enter PM2.5 or PM10-2.5." sqref="H17">
      <formula1>"PM2.5,PM10-2.5"</formula1>
    </dataValidation>
    <dataValidation type="list" allowBlank="1" showInputMessage="1" showErrorMessage="1" sqref="G17">
      <formula1>"PM2.5,PM10-2.5"</formula1>
    </dataValidation>
  </dataValidations>
  <printOptions/>
  <pageMargins left="0.75" right="0.75" top="1" bottom="1" header="0.5" footer="0.5"/>
  <pageSetup fitToHeight="1" fitToWidth="1"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V8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1.57421875" style="0" customWidth="1"/>
    <col min="2" max="3" width="3.57421875" style="0" customWidth="1"/>
    <col min="4" max="4" width="8.421875" style="0" customWidth="1"/>
    <col min="8" max="8" width="5.7109375" style="0" hidden="1" customWidth="1"/>
    <col min="9" max="9" width="5.421875" style="0" hidden="1" customWidth="1"/>
    <col min="10" max="10" width="5.57421875" style="0" hidden="1" customWidth="1"/>
    <col min="12" max="13" width="9.421875" style="0" customWidth="1"/>
    <col min="14" max="14" width="7.421875" style="0" customWidth="1"/>
    <col min="15" max="15" width="8.8515625" style="0" customWidth="1"/>
    <col min="16" max="16" width="5.7109375" style="0" hidden="1" customWidth="1"/>
    <col min="17" max="17" width="6.00390625" style="0" hidden="1" customWidth="1"/>
    <col min="18" max="18" width="5.57421875" style="0" hidden="1" customWidth="1"/>
    <col min="19" max="19" width="7.28125" style="0" customWidth="1"/>
    <col min="20" max="20" width="8.28125" style="0" customWidth="1"/>
    <col min="21" max="21" width="6.8515625" style="0" customWidth="1"/>
    <col min="22" max="22" width="33.140625" style="0" customWidth="1"/>
  </cols>
  <sheetData>
    <row r="1" spans="16:19" ht="13.5" customHeight="1">
      <c r="P1" s="183"/>
      <c r="Q1" s="183"/>
      <c r="R1" s="183"/>
      <c r="S1" s="183">
        <f>IF(ISBLANK(Title!G17),"Note: Please enter PM size category on Title sheet.","")</f>
      </c>
    </row>
    <row r="2" spans="7:19" ht="15" customHeight="1">
      <c r="G2" s="32" t="s">
        <v>20</v>
      </c>
      <c r="P2" s="183"/>
      <c r="Q2" s="183"/>
      <c r="R2" s="183"/>
      <c r="S2" s="183">
        <f>IF(ISBLANK(Title!G18),"Note: Please enter Class II or III on Title sheet.","")</f>
      </c>
    </row>
    <row r="3" spans="16:19" ht="15.75" customHeight="1">
      <c r="P3" s="183"/>
      <c r="R3" s="183"/>
      <c r="S3" s="183">
        <f>IF(ISBLANK(Title!G23),"Note: Please enter site A, B, C, or D on Title sheet.","")</f>
      </c>
    </row>
    <row r="4" spans="16:19" ht="5.25" customHeight="1" thickBot="1">
      <c r="P4" s="183"/>
      <c r="R4" s="183"/>
      <c r="S4" s="183"/>
    </row>
    <row r="5" spans="4:19" ht="12.75">
      <c r="D5" s="9" t="s">
        <v>2</v>
      </c>
      <c r="E5" s="29"/>
      <c r="F5" s="608" t="str">
        <f>IF(Title!$G$8=0,"",Title!$G$8)</f>
        <v>Example</v>
      </c>
      <c r="G5" s="609"/>
      <c r="H5" s="609"/>
      <c r="I5" s="609"/>
      <c r="J5" s="609"/>
      <c r="K5" s="609"/>
      <c r="L5" s="609"/>
      <c r="M5" s="609"/>
      <c r="N5" s="609"/>
      <c r="O5" s="609"/>
      <c r="P5" s="609"/>
      <c r="Q5" s="609"/>
      <c r="R5" s="609"/>
      <c r="S5" s="610"/>
    </row>
    <row r="6" spans="4:19" ht="12.75">
      <c r="D6" s="28" t="s">
        <v>7</v>
      </c>
      <c r="E6" s="30"/>
      <c r="F6" s="611" t="str">
        <f>IF(AND(ISBLANK(Title!G16),ISBLANK(Title!G17),ISBLANK(Title!G18)),"",Title!$G$16&amp;" - "&amp;Title!$G$17&amp;" Class "&amp;Title!$G$18)</f>
        <v>ACME Model XYZ123 Air monitor - PM2.5 Class III</v>
      </c>
      <c r="G6" s="612"/>
      <c r="H6" s="612"/>
      <c r="I6" s="612"/>
      <c r="J6" s="612"/>
      <c r="K6" s="612"/>
      <c r="L6" s="612"/>
      <c r="M6" s="612"/>
      <c r="N6" s="612"/>
      <c r="O6" s="612"/>
      <c r="P6" s="612"/>
      <c r="Q6" s="612"/>
      <c r="R6" s="612"/>
      <c r="S6" s="613"/>
    </row>
    <row r="7" spans="4:19" ht="13.5" thickBot="1">
      <c r="D7" s="14" t="s">
        <v>6</v>
      </c>
      <c r="E7" s="31"/>
      <c r="F7" s="614" t="str">
        <f>IF(AND(ISBLANK(Title!G22),ISBLANK(Title!G23)),"",Title!$G$22&amp;"  -  (Site location  "&amp;Title!$G$23&amp;" )")</f>
        <v>St. Louis test site  -  (Site location  C )</v>
      </c>
      <c r="G7" s="588"/>
      <c r="H7" s="588"/>
      <c r="I7" s="588"/>
      <c r="J7" s="588"/>
      <c r="K7" s="588"/>
      <c r="L7" s="588"/>
      <c r="M7" s="588"/>
      <c r="N7" s="588"/>
      <c r="O7" s="588"/>
      <c r="P7" s="588"/>
      <c r="Q7" s="588"/>
      <c r="R7" s="588"/>
      <c r="S7" s="589"/>
    </row>
    <row r="8" ht="13.5" thickBot="1"/>
    <row r="9" spans="2:22" ht="15" thickTop="1">
      <c r="B9" s="33"/>
      <c r="C9" s="34" t="s">
        <v>17</v>
      </c>
      <c r="D9" s="35" t="s">
        <v>27</v>
      </c>
      <c r="E9" s="36" t="s">
        <v>21</v>
      </c>
      <c r="F9" s="37"/>
      <c r="G9" s="37"/>
      <c r="H9" s="63" t="s">
        <v>23</v>
      </c>
      <c r="I9" s="64"/>
      <c r="J9" s="64"/>
      <c r="K9" s="65" t="s">
        <v>22</v>
      </c>
      <c r="L9" s="65"/>
      <c r="M9" s="66"/>
      <c r="N9" s="384" t="s">
        <v>25</v>
      </c>
      <c r="O9" s="385" t="s">
        <v>44</v>
      </c>
      <c r="P9" s="370" t="s">
        <v>131</v>
      </c>
      <c r="Q9" s="371"/>
      <c r="R9" s="372"/>
      <c r="S9" s="39" t="s">
        <v>12</v>
      </c>
      <c r="T9" s="35" t="s">
        <v>13</v>
      </c>
      <c r="U9" s="39" t="s">
        <v>14</v>
      </c>
      <c r="V9" s="129"/>
    </row>
    <row r="10" spans="2:22" ht="15" thickBot="1">
      <c r="B10" s="40"/>
      <c r="C10" s="41" t="s">
        <v>16</v>
      </c>
      <c r="D10" s="42" t="s">
        <v>8</v>
      </c>
      <c r="E10" s="43" t="s">
        <v>9</v>
      </c>
      <c r="F10" s="44" t="s">
        <v>10</v>
      </c>
      <c r="G10" s="44" t="s">
        <v>11</v>
      </c>
      <c r="H10" s="62">
        <v>1</v>
      </c>
      <c r="I10" s="61">
        <v>2</v>
      </c>
      <c r="J10" s="61">
        <v>3</v>
      </c>
      <c r="K10" s="61" t="s">
        <v>9</v>
      </c>
      <c r="L10" s="61" t="s">
        <v>10</v>
      </c>
      <c r="M10" s="67" t="s">
        <v>11</v>
      </c>
      <c r="N10" s="386" t="s">
        <v>26</v>
      </c>
      <c r="O10" s="387" t="s">
        <v>24</v>
      </c>
      <c r="P10" s="374">
        <v>1</v>
      </c>
      <c r="Q10" s="375">
        <v>2</v>
      </c>
      <c r="R10" s="375">
        <v>3</v>
      </c>
      <c r="S10" s="46" t="s">
        <v>28</v>
      </c>
      <c r="T10" s="42" t="s">
        <v>18</v>
      </c>
      <c r="U10" s="46" t="s">
        <v>19</v>
      </c>
      <c r="V10" s="130" t="s">
        <v>45</v>
      </c>
    </row>
    <row r="11" spans="2:22" ht="12.75">
      <c r="B11" s="602" t="s">
        <v>46</v>
      </c>
      <c r="C11" s="72">
        <v>1</v>
      </c>
      <c r="D11" s="103">
        <v>39116</v>
      </c>
      <c r="E11" s="105">
        <v>43.3</v>
      </c>
      <c r="F11" s="105">
        <v>43.9</v>
      </c>
      <c r="G11" s="105">
        <v>44.2</v>
      </c>
      <c r="H11" s="433">
        <f>IF(OR(ISBLANK(E11),ISTEXT(E11)),0,E11)</f>
        <v>43.3</v>
      </c>
      <c r="I11" s="434">
        <f>IF(OR(ISBLANK(F11),ISTEXT(F11)),0,F11)</f>
        <v>43.9</v>
      </c>
      <c r="J11" s="435">
        <f>IF(OR(ISBLANK(G11),ISTEXT(G11)),0,G11)</f>
        <v>44.2</v>
      </c>
      <c r="K11" s="59" t="str">
        <f>IF(OR(H11+I11=0,H11+J11=0),"",IF(AND(OR(2*H11/(H11+I11)&lt;0.93,2*H11/(H11+I11)&gt;1.07),OR(2*H11/(H11+J11)&lt;0.93,2*H11/(H11+J11)&gt;1.07)),"OUT","OK"))</f>
        <v>OK</v>
      </c>
      <c r="L11" s="59" t="str">
        <f>IF(OR(I11+H11=0,I11+J11=0),"",IF(AND(OR(2*I11/(I11+H11)&lt;0.93,2*I11/(I11+H11)&gt;1.07),OR(2*I11/(I11+J11)&lt;0.93,2*I11/(I11+J11)&gt;1.07)),"OUT","OK"))</f>
        <v>OK</v>
      </c>
      <c r="M11" s="59" t="str">
        <f>IF(OR(J11+H11=0,J11+I11=0),"",IF(AND(OR(2*J11/(J11+H11)&lt;0.93,2*J11/(J11+H11)&gt;1.07),OR(2*J11/(J11+I11)&lt;0.93,2*J11/(J11+I11)&gt;1.07)),"OUT","OK"))</f>
        <v>OK</v>
      </c>
      <c r="N11" s="380">
        <f>IF(OR(COUNTIF(K11:M11,"OK")&gt;0,COUNTIF(K11:M11,"OUT")&gt;0),COUNTIF(K11:M11,"OK"),"")</f>
        <v>3</v>
      </c>
      <c r="O11" s="527" t="str">
        <f>IF(N11="","",IF(OR(N11&lt;2,S11&lt;3,S11&gt;200),"NOT VALID","ok"))</f>
        <v>ok</v>
      </c>
      <c r="P11" s="376">
        <f>IF(K11="OK",E11,"")</f>
        <v>43.3</v>
      </c>
      <c r="Q11" s="376">
        <f>IF(L11="OK",F11,"")</f>
        <v>43.9</v>
      </c>
      <c r="R11" s="376">
        <f>IF(M11="OK",G11,"")</f>
        <v>44.2</v>
      </c>
      <c r="S11" s="373">
        <f>IF(ISERROR(AVERAGE(P11:R11)),"",AVERAGE(P11:R11))</f>
        <v>43.79999999999999</v>
      </c>
      <c r="T11" s="50">
        <f aca="true" t="shared" si="0" ref="T11:T42">IF(N11="","",IF(N11&lt;2,"--  ",STDEV(P11:R11)))</f>
        <v>0.45825756949611984</v>
      </c>
      <c r="U11" s="394">
        <f>IF(T11="","",IF(T11="--  ","--  ",T11/S11))</f>
        <v>0.010462501586669405</v>
      </c>
      <c r="V11" s="131"/>
    </row>
    <row r="12" spans="2:22" ht="13.5" thickBot="1">
      <c r="B12" s="603"/>
      <c r="C12" s="488">
        <v>2</v>
      </c>
      <c r="D12" s="104">
        <v>39117</v>
      </c>
      <c r="E12" s="105">
        <v>10.5</v>
      </c>
      <c r="F12" s="105">
        <v>12.3</v>
      </c>
      <c r="G12" s="105">
        <v>12</v>
      </c>
      <c r="H12" s="90">
        <f aca="true" t="shared" si="1" ref="H12:H57">IF(OR(ISBLANK(E12),ISTEXT(E12)),0,E12)</f>
        <v>10.5</v>
      </c>
      <c r="I12" s="91">
        <f aca="true" t="shared" si="2" ref="I12:I57">IF(OR(ISBLANK(F12),ISTEXT(F12)),0,F12)</f>
        <v>12.3</v>
      </c>
      <c r="J12" s="92">
        <f aca="true" t="shared" si="3" ref="J12:J57">IF(OR(ISBLANK(G12),ISTEXT(G12)),0,G12)</f>
        <v>12</v>
      </c>
      <c r="K12" s="93" t="str">
        <f aca="true" t="shared" si="4" ref="K12:K57">IF(OR(H12+I12=0,H12+J12=0),"",IF(AND(OR(2*H12/(H12+I12)&lt;0.93,2*H12/(H12+I12)&gt;1.07),OR(2*H12/(H12+J12)&lt;0.93,2*H12/(H12+J12)&gt;1.07)),"OUT","OK"))</f>
        <v>OK</v>
      </c>
      <c r="L12" s="93" t="str">
        <f aca="true" t="shared" si="5" ref="L12:L57">IF(OR(I12+H12=0,I12+J12=0),"",IF(AND(OR(2*I12/(I12+H12)&lt;0.93,2*I12/(I12+H12)&gt;1.07),OR(2*I12/(I12+J12)&lt;0.93,2*I12/(I12+J12)&gt;1.07)),"OUT","OK"))</f>
        <v>OK</v>
      </c>
      <c r="M12" s="93" t="str">
        <f aca="true" t="shared" si="6" ref="M12:M57">IF(OR(J12+H12=0,J12+I12=0),"",IF(AND(OR(2*J12/(J12+H12)&lt;0.93,2*J12/(J12+H12)&gt;1.07),OR(2*J12/(J12+I12)&lt;0.93,2*J12/(J12+I12)&gt;1.07)),"OUT","OK"))</f>
        <v>OK</v>
      </c>
      <c r="N12" s="381">
        <f>IF(OR(COUNTIF(K12:M12,"OK")&gt;0,COUNTIF(K12:M12,"OUT")&gt;0),COUNTIF(K12:M12,"OK"),"")</f>
        <v>3</v>
      </c>
      <c r="O12" s="528" t="str">
        <f aca="true" t="shared" si="7" ref="O12:O57">IF(N12="","",IF(OR(N12&lt;2,S12&lt;3,S12&gt;200),"NOT VALID","ok"))</f>
        <v>ok</v>
      </c>
      <c r="P12" s="376">
        <f aca="true" t="shared" si="8" ref="P12:P57">IF(K12="OK",E12,"")</f>
        <v>10.5</v>
      </c>
      <c r="Q12" s="376">
        <f aca="true" t="shared" si="9" ref="Q12:Q57">IF(L12="OK",F12,"")</f>
        <v>12.3</v>
      </c>
      <c r="R12" s="376">
        <f aca="true" t="shared" si="10" ref="R12:R57">IF(M12="OK",G12,"")</f>
        <v>12</v>
      </c>
      <c r="S12" s="373">
        <f aca="true" t="shared" si="11" ref="S12:S57">IF(ISERROR(AVERAGE(P12:R12)),"",AVERAGE(P12:R12))</f>
        <v>11.6</v>
      </c>
      <c r="T12" s="51">
        <f t="shared" si="0"/>
        <v>0.9643650760993285</v>
      </c>
      <c r="U12" s="395">
        <f aca="true" t="shared" si="12" ref="U12:U57">IF(T12="","",IF(T12="--  ","--  ",T12/S12))</f>
        <v>0.08313492035339039</v>
      </c>
      <c r="V12" s="119"/>
    </row>
    <row r="13" spans="2:22" ht="13.5" thickBot="1">
      <c r="B13" s="603"/>
      <c r="C13" s="488">
        <v>3</v>
      </c>
      <c r="D13" s="104">
        <v>39118</v>
      </c>
      <c r="E13" s="105">
        <v>36</v>
      </c>
      <c r="F13" s="105">
        <v>36.6</v>
      </c>
      <c r="G13" s="105">
        <v>36.7</v>
      </c>
      <c r="H13" s="56">
        <f t="shared" si="1"/>
        <v>36</v>
      </c>
      <c r="I13" s="57">
        <f t="shared" si="2"/>
        <v>36.6</v>
      </c>
      <c r="J13" s="58">
        <f t="shared" si="3"/>
        <v>36.7</v>
      </c>
      <c r="K13" s="60" t="str">
        <f t="shared" si="4"/>
        <v>OK</v>
      </c>
      <c r="L13" s="60" t="str">
        <f t="shared" si="5"/>
        <v>OK</v>
      </c>
      <c r="M13" s="60" t="str">
        <f t="shared" si="6"/>
        <v>OK</v>
      </c>
      <c r="N13" s="381">
        <f>IF(OR(COUNTIF(K13:M13,"OK")&gt;0,COUNTIF(K13:M13,"OUT")&gt;0),COUNTIF(K13:M13,"OK"),"")</f>
        <v>3</v>
      </c>
      <c r="O13" s="528" t="str">
        <f t="shared" si="7"/>
        <v>ok</v>
      </c>
      <c r="P13" s="376">
        <f t="shared" si="8"/>
        <v>36</v>
      </c>
      <c r="Q13" s="376">
        <f t="shared" si="9"/>
        <v>36.6</v>
      </c>
      <c r="R13" s="376">
        <f t="shared" si="10"/>
        <v>36.7</v>
      </c>
      <c r="S13" s="373">
        <f t="shared" si="11"/>
        <v>36.43333333333333</v>
      </c>
      <c r="T13" s="51">
        <f t="shared" si="0"/>
        <v>0.37859388972044666</v>
      </c>
      <c r="U13" s="395">
        <f t="shared" si="12"/>
        <v>0.010391415088392865</v>
      </c>
      <c r="V13" s="119"/>
    </row>
    <row r="14" spans="2:22" ht="13.5" thickBot="1">
      <c r="B14" s="603"/>
      <c r="C14" s="488">
        <v>4</v>
      </c>
      <c r="D14" s="104">
        <v>39119</v>
      </c>
      <c r="E14" s="105">
        <v>41</v>
      </c>
      <c r="F14" s="105">
        <v>39.6</v>
      </c>
      <c r="G14" s="105">
        <v>41.3</v>
      </c>
      <c r="H14" s="56">
        <f t="shared" si="1"/>
        <v>41</v>
      </c>
      <c r="I14" s="57">
        <f t="shared" si="2"/>
        <v>39.6</v>
      </c>
      <c r="J14" s="58">
        <f t="shared" si="3"/>
        <v>41.3</v>
      </c>
      <c r="K14" s="60" t="str">
        <f t="shared" si="4"/>
        <v>OK</v>
      </c>
      <c r="L14" s="60" t="str">
        <f t="shared" si="5"/>
        <v>OK</v>
      </c>
      <c r="M14" s="60" t="str">
        <f t="shared" si="6"/>
        <v>OK</v>
      </c>
      <c r="N14" s="381">
        <f>IF(OR(COUNTIF(K14:M14,"OK")&gt;0,COUNTIF(K14:M14,"OUT")&gt;0),COUNTIF(K14:M14,"OK"),"")</f>
        <v>3</v>
      </c>
      <c r="O14" s="528" t="str">
        <f t="shared" si="7"/>
        <v>ok</v>
      </c>
      <c r="P14" s="376">
        <f t="shared" si="8"/>
        <v>41</v>
      </c>
      <c r="Q14" s="376">
        <f t="shared" si="9"/>
        <v>39.6</v>
      </c>
      <c r="R14" s="376">
        <f t="shared" si="10"/>
        <v>41.3</v>
      </c>
      <c r="S14" s="373">
        <f t="shared" si="11"/>
        <v>40.63333333333333</v>
      </c>
      <c r="T14" s="51">
        <f t="shared" si="0"/>
        <v>0.9073771725877099</v>
      </c>
      <c r="U14" s="395">
        <f t="shared" si="12"/>
        <v>0.022330857405768085</v>
      </c>
      <c r="V14" s="119"/>
    </row>
    <row r="15" spans="2:22" ht="13.5" thickBot="1">
      <c r="B15" s="603"/>
      <c r="C15" s="488">
        <v>5</v>
      </c>
      <c r="D15" s="104">
        <v>39120</v>
      </c>
      <c r="E15" s="105">
        <v>17.6</v>
      </c>
      <c r="F15" s="105">
        <v>16</v>
      </c>
      <c r="G15" s="105">
        <v>15.7</v>
      </c>
      <c r="H15" s="56">
        <f t="shared" si="1"/>
        <v>17.6</v>
      </c>
      <c r="I15" s="57">
        <f t="shared" si="2"/>
        <v>16</v>
      </c>
      <c r="J15" s="58">
        <f t="shared" si="3"/>
        <v>15.7</v>
      </c>
      <c r="K15" s="60" t="str">
        <f t="shared" si="4"/>
        <v>OK</v>
      </c>
      <c r="L15" s="60" t="str">
        <f t="shared" si="5"/>
        <v>OK</v>
      </c>
      <c r="M15" s="60" t="str">
        <f t="shared" si="6"/>
        <v>OK</v>
      </c>
      <c r="N15" s="381">
        <f aca="true" t="shared" si="13" ref="N15:N57">IF(OR(COUNTIF(K15:M15,"OK")&gt;0,COUNTIF(K15:M15,"OUT")&gt;0),COUNTIF(K15:M15,"OK"),"")</f>
        <v>3</v>
      </c>
      <c r="O15" s="528" t="str">
        <f t="shared" si="7"/>
        <v>ok</v>
      </c>
      <c r="P15" s="376">
        <f t="shared" si="8"/>
        <v>17.6</v>
      </c>
      <c r="Q15" s="376">
        <f t="shared" si="9"/>
        <v>16</v>
      </c>
      <c r="R15" s="376">
        <f t="shared" si="10"/>
        <v>15.7</v>
      </c>
      <c r="S15" s="373">
        <f t="shared" si="11"/>
        <v>16.433333333333334</v>
      </c>
      <c r="T15" s="51">
        <f t="shared" si="0"/>
        <v>1.0214368964029794</v>
      </c>
      <c r="U15" s="395">
        <f t="shared" si="12"/>
        <v>0.06215640343222999</v>
      </c>
      <c r="V15" s="119"/>
    </row>
    <row r="16" spans="2:22" ht="13.5" thickBot="1">
      <c r="B16" s="603"/>
      <c r="C16" s="488">
        <v>6</v>
      </c>
      <c r="D16" s="104">
        <v>39121</v>
      </c>
      <c r="E16" s="105">
        <v>24.8</v>
      </c>
      <c r="F16" s="105">
        <v>25.1</v>
      </c>
      <c r="G16" s="105">
        <v>25.7</v>
      </c>
      <c r="H16" s="56">
        <f t="shared" si="1"/>
        <v>24.8</v>
      </c>
      <c r="I16" s="57">
        <f t="shared" si="2"/>
        <v>25.1</v>
      </c>
      <c r="J16" s="58">
        <f t="shared" si="3"/>
        <v>25.7</v>
      </c>
      <c r="K16" s="60" t="str">
        <f t="shared" si="4"/>
        <v>OK</v>
      </c>
      <c r="L16" s="60" t="str">
        <f t="shared" si="5"/>
        <v>OK</v>
      </c>
      <c r="M16" s="60" t="str">
        <f t="shared" si="6"/>
        <v>OK</v>
      </c>
      <c r="N16" s="381">
        <f t="shared" si="13"/>
        <v>3</v>
      </c>
      <c r="O16" s="528" t="str">
        <f t="shared" si="7"/>
        <v>ok</v>
      </c>
      <c r="P16" s="376">
        <f t="shared" si="8"/>
        <v>24.8</v>
      </c>
      <c r="Q16" s="376">
        <f t="shared" si="9"/>
        <v>25.1</v>
      </c>
      <c r="R16" s="376">
        <f t="shared" si="10"/>
        <v>25.7</v>
      </c>
      <c r="S16" s="373">
        <f t="shared" si="11"/>
        <v>25.200000000000003</v>
      </c>
      <c r="T16" s="51">
        <f t="shared" si="0"/>
        <v>0.4582575694953756</v>
      </c>
      <c r="U16" s="395">
        <f t="shared" si="12"/>
        <v>0.018184824186324427</v>
      </c>
      <c r="V16" s="119"/>
    </row>
    <row r="17" spans="2:22" ht="13.5" thickBot="1">
      <c r="B17" s="603"/>
      <c r="C17" s="488">
        <v>7</v>
      </c>
      <c r="D17" s="104">
        <v>39122</v>
      </c>
      <c r="E17" s="105">
        <v>47.3</v>
      </c>
      <c r="F17" s="105">
        <v>49.2</v>
      </c>
      <c r="G17" s="105">
        <v>49</v>
      </c>
      <c r="H17" s="56">
        <f t="shared" si="1"/>
        <v>47.3</v>
      </c>
      <c r="I17" s="57">
        <f t="shared" si="2"/>
        <v>49.2</v>
      </c>
      <c r="J17" s="58">
        <f t="shared" si="3"/>
        <v>49</v>
      </c>
      <c r="K17" s="60" t="str">
        <f t="shared" si="4"/>
        <v>OK</v>
      </c>
      <c r="L17" s="60" t="str">
        <f t="shared" si="5"/>
        <v>OK</v>
      </c>
      <c r="M17" s="60" t="str">
        <f t="shared" si="6"/>
        <v>OK</v>
      </c>
      <c r="N17" s="381">
        <f t="shared" si="13"/>
        <v>3</v>
      </c>
      <c r="O17" s="528" t="str">
        <f t="shared" si="7"/>
        <v>ok</v>
      </c>
      <c r="P17" s="376">
        <f t="shared" si="8"/>
        <v>47.3</v>
      </c>
      <c r="Q17" s="376">
        <f t="shared" si="9"/>
        <v>49.2</v>
      </c>
      <c r="R17" s="376">
        <f t="shared" si="10"/>
        <v>49</v>
      </c>
      <c r="S17" s="373">
        <f t="shared" si="11"/>
        <v>48.5</v>
      </c>
      <c r="T17" s="51">
        <f t="shared" si="0"/>
        <v>1.0440306508911248</v>
      </c>
      <c r="U17" s="395">
        <f t="shared" si="12"/>
        <v>0.021526405173012884</v>
      </c>
      <c r="V17" s="119"/>
    </row>
    <row r="18" spans="2:22" ht="13.5" thickBot="1">
      <c r="B18" s="603"/>
      <c r="C18" s="488">
        <v>8</v>
      </c>
      <c r="D18" s="104">
        <v>39123</v>
      </c>
      <c r="E18" s="105">
        <v>33.4</v>
      </c>
      <c r="F18" s="105">
        <v>31.4</v>
      </c>
      <c r="G18" s="105">
        <v>32.9</v>
      </c>
      <c r="H18" s="56">
        <f t="shared" si="1"/>
        <v>33.4</v>
      </c>
      <c r="I18" s="57">
        <f t="shared" si="2"/>
        <v>31.4</v>
      </c>
      <c r="J18" s="58">
        <f t="shared" si="3"/>
        <v>32.9</v>
      </c>
      <c r="K18" s="60" t="str">
        <f t="shared" si="4"/>
        <v>OK</v>
      </c>
      <c r="L18" s="60" t="str">
        <f t="shared" si="5"/>
        <v>OK</v>
      </c>
      <c r="M18" s="60" t="str">
        <f t="shared" si="6"/>
        <v>OK</v>
      </c>
      <c r="N18" s="381">
        <f t="shared" si="13"/>
        <v>3</v>
      </c>
      <c r="O18" s="528" t="str">
        <f t="shared" si="7"/>
        <v>ok</v>
      </c>
      <c r="P18" s="376">
        <f t="shared" si="8"/>
        <v>33.4</v>
      </c>
      <c r="Q18" s="376">
        <f t="shared" si="9"/>
        <v>31.4</v>
      </c>
      <c r="R18" s="376">
        <f t="shared" si="10"/>
        <v>32.9</v>
      </c>
      <c r="S18" s="373">
        <f t="shared" si="11"/>
        <v>32.56666666666666</v>
      </c>
      <c r="T18" s="51">
        <f t="shared" si="0"/>
        <v>1.0408329997332484</v>
      </c>
      <c r="U18" s="395">
        <f t="shared" si="12"/>
        <v>0.031960071639710805</v>
      </c>
      <c r="V18" s="119"/>
    </row>
    <row r="19" spans="2:22" ht="13.5" thickBot="1">
      <c r="B19" s="603"/>
      <c r="C19" s="488">
        <v>9</v>
      </c>
      <c r="D19" s="104">
        <v>39124</v>
      </c>
      <c r="E19" s="105">
        <v>11.3</v>
      </c>
      <c r="F19" s="105">
        <v>12.9</v>
      </c>
      <c r="G19" s="105">
        <v>12.9</v>
      </c>
      <c r="H19" s="56">
        <f t="shared" si="1"/>
        <v>11.3</v>
      </c>
      <c r="I19" s="57">
        <f t="shared" si="2"/>
        <v>12.9</v>
      </c>
      <c r="J19" s="58">
        <f t="shared" si="3"/>
        <v>12.9</v>
      </c>
      <c r="K19" s="60" t="str">
        <f t="shared" si="4"/>
        <v>OK</v>
      </c>
      <c r="L19" s="60" t="str">
        <f t="shared" si="5"/>
        <v>OK</v>
      </c>
      <c r="M19" s="60" t="str">
        <f t="shared" si="6"/>
        <v>OK</v>
      </c>
      <c r="N19" s="381">
        <f t="shared" si="13"/>
        <v>3</v>
      </c>
      <c r="O19" s="528" t="str">
        <f t="shared" si="7"/>
        <v>ok</v>
      </c>
      <c r="P19" s="376">
        <f t="shared" si="8"/>
        <v>11.3</v>
      </c>
      <c r="Q19" s="376">
        <f t="shared" si="9"/>
        <v>12.9</v>
      </c>
      <c r="R19" s="376">
        <f t="shared" si="10"/>
        <v>12.9</v>
      </c>
      <c r="S19" s="373">
        <f t="shared" si="11"/>
        <v>12.366666666666667</v>
      </c>
      <c r="T19" s="51">
        <f t="shared" si="0"/>
        <v>0.9237604307033965</v>
      </c>
      <c r="U19" s="395">
        <f t="shared" si="12"/>
        <v>0.07469760895175713</v>
      </c>
      <c r="V19" s="119"/>
    </row>
    <row r="20" spans="2:22" ht="13.5" thickBot="1">
      <c r="B20" s="603"/>
      <c r="C20" s="488">
        <v>10</v>
      </c>
      <c r="D20" s="104">
        <v>39125</v>
      </c>
      <c r="E20" s="105">
        <v>36.9</v>
      </c>
      <c r="F20" s="105">
        <v>38.9</v>
      </c>
      <c r="G20" s="105">
        <v>37.4</v>
      </c>
      <c r="H20" s="56">
        <f t="shared" si="1"/>
        <v>36.9</v>
      </c>
      <c r="I20" s="57">
        <f t="shared" si="2"/>
        <v>38.9</v>
      </c>
      <c r="J20" s="58">
        <f t="shared" si="3"/>
        <v>37.4</v>
      </c>
      <c r="K20" s="60" t="str">
        <f t="shared" si="4"/>
        <v>OK</v>
      </c>
      <c r="L20" s="60" t="str">
        <f t="shared" si="5"/>
        <v>OK</v>
      </c>
      <c r="M20" s="60" t="str">
        <f t="shared" si="6"/>
        <v>OK</v>
      </c>
      <c r="N20" s="381">
        <f t="shared" si="13"/>
        <v>3</v>
      </c>
      <c r="O20" s="528" t="str">
        <f t="shared" si="7"/>
        <v>ok</v>
      </c>
      <c r="P20" s="376">
        <f t="shared" si="8"/>
        <v>36.9</v>
      </c>
      <c r="Q20" s="376">
        <f t="shared" si="9"/>
        <v>38.9</v>
      </c>
      <c r="R20" s="376">
        <f t="shared" si="10"/>
        <v>37.4</v>
      </c>
      <c r="S20" s="373">
        <f t="shared" si="11"/>
        <v>37.73333333333333</v>
      </c>
      <c r="T20" s="51">
        <f t="shared" si="0"/>
        <v>1.0408329997331391</v>
      </c>
      <c r="U20" s="395">
        <f t="shared" si="12"/>
        <v>0.027583913420489558</v>
      </c>
      <c r="V20" s="119"/>
    </row>
    <row r="21" spans="2:22" ht="13.5" thickBot="1">
      <c r="B21" s="603"/>
      <c r="C21" s="488">
        <v>11</v>
      </c>
      <c r="D21" s="104">
        <v>39126</v>
      </c>
      <c r="E21" s="105">
        <v>8.3</v>
      </c>
      <c r="F21" s="105">
        <v>9.5</v>
      </c>
      <c r="G21" s="105">
        <v>9.1</v>
      </c>
      <c r="H21" s="56">
        <f t="shared" si="1"/>
        <v>8.3</v>
      </c>
      <c r="I21" s="57">
        <f t="shared" si="2"/>
        <v>9.5</v>
      </c>
      <c r="J21" s="58">
        <f t="shared" si="3"/>
        <v>9.1</v>
      </c>
      <c r="K21" s="60" t="str">
        <f t="shared" si="4"/>
        <v>OK</v>
      </c>
      <c r="L21" s="60" t="str">
        <f t="shared" si="5"/>
        <v>OK</v>
      </c>
      <c r="M21" s="60" t="str">
        <f t="shared" si="6"/>
        <v>OK</v>
      </c>
      <c r="N21" s="381">
        <f t="shared" si="13"/>
        <v>3</v>
      </c>
      <c r="O21" s="528" t="str">
        <f t="shared" si="7"/>
        <v>ok</v>
      </c>
      <c r="P21" s="376">
        <f t="shared" si="8"/>
        <v>8.3</v>
      </c>
      <c r="Q21" s="376">
        <f t="shared" si="9"/>
        <v>9.5</v>
      </c>
      <c r="R21" s="376">
        <f t="shared" si="10"/>
        <v>9.1</v>
      </c>
      <c r="S21" s="373">
        <f t="shared" si="11"/>
        <v>8.966666666666667</v>
      </c>
      <c r="T21" s="51">
        <f t="shared" si="0"/>
        <v>0.6110100926607915</v>
      </c>
      <c r="U21" s="395">
        <f t="shared" si="12"/>
        <v>0.0681423895160734</v>
      </c>
      <c r="V21" s="119"/>
    </row>
    <row r="22" spans="2:22" ht="13.5" thickBot="1">
      <c r="B22" s="603"/>
      <c r="C22" s="488">
        <v>12</v>
      </c>
      <c r="D22" s="104">
        <v>39127</v>
      </c>
      <c r="E22" s="105">
        <v>9.6</v>
      </c>
      <c r="F22" s="105">
        <v>11.2</v>
      </c>
      <c r="G22" s="105">
        <v>7.6</v>
      </c>
      <c r="H22" s="56">
        <f t="shared" si="1"/>
        <v>9.6</v>
      </c>
      <c r="I22" s="57">
        <f t="shared" si="2"/>
        <v>11.2</v>
      </c>
      <c r="J22" s="58">
        <f t="shared" si="3"/>
        <v>7.6</v>
      </c>
      <c r="K22" s="60" t="str">
        <f t="shared" si="4"/>
        <v>OUT</v>
      </c>
      <c r="L22" s="60" t="str">
        <f t="shared" si="5"/>
        <v>OUT</v>
      </c>
      <c r="M22" s="60" t="str">
        <f t="shared" si="6"/>
        <v>OUT</v>
      </c>
      <c r="N22" s="381">
        <f t="shared" si="13"/>
        <v>0</v>
      </c>
      <c r="O22" s="528" t="str">
        <f t="shared" si="7"/>
        <v>NOT VALID</v>
      </c>
      <c r="P22" s="376">
        <f t="shared" si="8"/>
      </c>
      <c r="Q22" s="376">
        <f t="shared" si="9"/>
      </c>
      <c r="R22" s="376">
        <f t="shared" si="10"/>
      </c>
      <c r="S22" s="373">
        <f t="shared" si="11"/>
      </c>
      <c r="T22" s="51" t="str">
        <f t="shared" si="0"/>
        <v>--  </v>
      </c>
      <c r="U22" s="395" t="str">
        <f t="shared" si="12"/>
        <v>--  </v>
      </c>
      <c r="V22" s="119"/>
    </row>
    <row r="23" spans="2:22" ht="13.5" thickBot="1">
      <c r="B23" s="603"/>
      <c r="C23" s="488">
        <v>13</v>
      </c>
      <c r="D23" s="104">
        <v>39128</v>
      </c>
      <c r="E23" s="105">
        <v>30.9</v>
      </c>
      <c r="F23" s="105">
        <v>29</v>
      </c>
      <c r="G23" s="105">
        <v>30.8</v>
      </c>
      <c r="H23" s="56">
        <f t="shared" si="1"/>
        <v>30.9</v>
      </c>
      <c r="I23" s="57">
        <f t="shared" si="2"/>
        <v>29</v>
      </c>
      <c r="J23" s="58">
        <f t="shared" si="3"/>
        <v>30.8</v>
      </c>
      <c r="K23" s="60" t="str">
        <f t="shared" si="4"/>
        <v>OK</v>
      </c>
      <c r="L23" s="60" t="str">
        <f t="shared" si="5"/>
        <v>OK</v>
      </c>
      <c r="M23" s="60" t="str">
        <f t="shared" si="6"/>
        <v>OK</v>
      </c>
      <c r="N23" s="381">
        <f t="shared" si="13"/>
        <v>3</v>
      </c>
      <c r="O23" s="528" t="str">
        <f t="shared" si="7"/>
        <v>ok</v>
      </c>
      <c r="P23" s="376">
        <f t="shared" si="8"/>
        <v>30.9</v>
      </c>
      <c r="Q23" s="376">
        <f t="shared" si="9"/>
        <v>29</v>
      </c>
      <c r="R23" s="376">
        <f t="shared" si="10"/>
        <v>30.8</v>
      </c>
      <c r="S23" s="373">
        <f t="shared" si="11"/>
        <v>30.233333333333334</v>
      </c>
      <c r="T23" s="51">
        <f t="shared" si="0"/>
        <v>1.0692676621563018</v>
      </c>
      <c r="U23" s="395">
        <f t="shared" si="12"/>
        <v>0.03536717735908385</v>
      </c>
      <c r="V23" s="119"/>
    </row>
    <row r="24" spans="2:22" ht="13.5" thickBot="1">
      <c r="B24" s="603"/>
      <c r="C24" s="488">
        <v>14</v>
      </c>
      <c r="D24" s="104">
        <v>39129</v>
      </c>
      <c r="E24" s="105">
        <v>10.8</v>
      </c>
      <c r="F24" s="105">
        <v>12.4</v>
      </c>
      <c r="G24" s="105">
        <v>11</v>
      </c>
      <c r="H24" s="56">
        <f t="shared" si="1"/>
        <v>10.8</v>
      </c>
      <c r="I24" s="57">
        <f t="shared" si="2"/>
        <v>12.4</v>
      </c>
      <c r="J24" s="58">
        <f t="shared" si="3"/>
        <v>11</v>
      </c>
      <c r="K24" s="60" t="str">
        <f t="shared" si="4"/>
        <v>OK</v>
      </c>
      <c r="L24" s="60" t="str">
        <f t="shared" si="5"/>
        <v>OK</v>
      </c>
      <c r="M24" s="60" t="str">
        <f t="shared" si="6"/>
        <v>OK</v>
      </c>
      <c r="N24" s="381">
        <f t="shared" si="13"/>
        <v>3</v>
      </c>
      <c r="O24" s="528" t="str">
        <f t="shared" si="7"/>
        <v>ok</v>
      </c>
      <c r="P24" s="376">
        <f t="shared" si="8"/>
        <v>10.8</v>
      </c>
      <c r="Q24" s="376">
        <f t="shared" si="9"/>
        <v>12.4</v>
      </c>
      <c r="R24" s="376">
        <f t="shared" si="10"/>
        <v>11</v>
      </c>
      <c r="S24" s="373">
        <f t="shared" si="11"/>
        <v>11.4</v>
      </c>
      <c r="T24" s="51">
        <f t="shared" si="0"/>
        <v>0.8717797887081294</v>
      </c>
      <c r="U24" s="395">
        <f t="shared" si="12"/>
        <v>0.0764719112901868</v>
      </c>
      <c r="V24" s="119"/>
    </row>
    <row r="25" spans="2:22" ht="13.5" thickBot="1">
      <c r="B25" s="603"/>
      <c r="C25" s="488">
        <v>15</v>
      </c>
      <c r="D25" s="104">
        <v>39130</v>
      </c>
      <c r="E25" s="105">
        <v>26.5</v>
      </c>
      <c r="F25" s="105">
        <v>25.1</v>
      </c>
      <c r="G25" s="105">
        <v>27.3</v>
      </c>
      <c r="H25" s="56">
        <f t="shared" si="1"/>
        <v>26.5</v>
      </c>
      <c r="I25" s="57">
        <f t="shared" si="2"/>
        <v>25.1</v>
      </c>
      <c r="J25" s="58">
        <f t="shared" si="3"/>
        <v>27.3</v>
      </c>
      <c r="K25" s="60" t="str">
        <f t="shared" si="4"/>
        <v>OK</v>
      </c>
      <c r="L25" s="60" t="str">
        <f t="shared" si="5"/>
        <v>OK</v>
      </c>
      <c r="M25" s="60" t="str">
        <f t="shared" si="6"/>
        <v>OK</v>
      </c>
      <c r="N25" s="381">
        <f t="shared" si="13"/>
        <v>3</v>
      </c>
      <c r="O25" s="528" t="str">
        <f t="shared" si="7"/>
        <v>ok</v>
      </c>
      <c r="P25" s="376">
        <f t="shared" si="8"/>
        <v>26.5</v>
      </c>
      <c r="Q25" s="376">
        <f t="shared" si="9"/>
        <v>25.1</v>
      </c>
      <c r="R25" s="376">
        <f t="shared" si="10"/>
        <v>27.3</v>
      </c>
      <c r="S25" s="373">
        <f t="shared" si="11"/>
        <v>26.3</v>
      </c>
      <c r="T25" s="51">
        <f t="shared" si="0"/>
        <v>1.1135528725660084</v>
      </c>
      <c r="U25" s="395">
        <f t="shared" si="12"/>
        <v>0.04234041340555165</v>
      </c>
      <c r="V25" s="119"/>
    </row>
    <row r="26" spans="2:22" ht="13.5" thickBot="1">
      <c r="B26" s="603"/>
      <c r="C26" s="488">
        <v>16</v>
      </c>
      <c r="D26" s="104">
        <v>39131</v>
      </c>
      <c r="E26" s="105">
        <v>45.4</v>
      </c>
      <c r="F26" s="105">
        <v>44.7</v>
      </c>
      <c r="G26" s="105">
        <v>46.3</v>
      </c>
      <c r="H26" s="56">
        <f t="shared" si="1"/>
        <v>45.4</v>
      </c>
      <c r="I26" s="57">
        <f t="shared" si="2"/>
        <v>44.7</v>
      </c>
      <c r="J26" s="58">
        <f t="shared" si="3"/>
        <v>46.3</v>
      </c>
      <c r="K26" s="60" t="str">
        <f t="shared" si="4"/>
        <v>OK</v>
      </c>
      <c r="L26" s="60" t="str">
        <f t="shared" si="5"/>
        <v>OK</v>
      </c>
      <c r="M26" s="60" t="str">
        <f t="shared" si="6"/>
        <v>OK</v>
      </c>
      <c r="N26" s="381">
        <f t="shared" si="13"/>
        <v>3</v>
      </c>
      <c r="O26" s="528" t="str">
        <f t="shared" si="7"/>
        <v>ok</v>
      </c>
      <c r="P26" s="376">
        <f t="shared" si="8"/>
        <v>45.4</v>
      </c>
      <c r="Q26" s="376">
        <f t="shared" si="9"/>
        <v>44.7</v>
      </c>
      <c r="R26" s="376">
        <f t="shared" si="10"/>
        <v>46.3</v>
      </c>
      <c r="S26" s="373">
        <f t="shared" si="11"/>
        <v>45.46666666666666</v>
      </c>
      <c r="T26" s="51">
        <f t="shared" si="0"/>
        <v>0.8020806277014083</v>
      </c>
      <c r="U26" s="395">
        <f t="shared" si="12"/>
        <v>0.017641069524224524</v>
      </c>
      <c r="V26" s="119"/>
    </row>
    <row r="27" spans="2:22" ht="13.5" thickBot="1">
      <c r="B27" s="603"/>
      <c r="C27" s="488">
        <v>17</v>
      </c>
      <c r="D27" s="104">
        <v>39132</v>
      </c>
      <c r="E27" s="105">
        <v>46.4</v>
      </c>
      <c r="F27" s="105">
        <v>47.3</v>
      </c>
      <c r="G27" s="105">
        <v>46.4</v>
      </c>
      <c r="H27" s="56">
        <f t="shared" si="1"/>
        <v>46.4</v>
      </c>
      <c r="I27" s="57">
        <f t="shared" si="2"/>
        <v>47.3</v>
      </c>
      <c r="J27" s="58">
        <f t="shared" si="3"/>
        <v>46.4</v>
      </c>
      <c r="K27" s="60" t="str">
        <f t="shared" si="4"/>
        <v>OK</v>
      </c>
      <c r="L27" s="60" t="str">
        <f t="shared" si="5"/>
        <v>OK</v>
      </c>
      <c r="M27" s="60" t="str">
        <f t="shared" si="6"/>
        <v>OK</v>
      </c>
      <c r="N27" s="381">
        <f t="shared" si="13"/>
        <v>3</v>
      </c>
      <c r="O27" s="528" t="str">
        <f t="shared" si="7"/>
        <v>ok</v>
      </c>
      <c r="P27" s="376">
        <f t="shared" si="8"/>
        <v>46.4</v>
      </c>
      <c r="Q27" s="376">
        <f t="shared" si="9"/>
        <v>47.3</v>
      </c>
      <c r="R27" s="376">
        <f t="shared" si="10"/>
        <v>46.4</v>
      </c>
      <c r="S27" s="373">
        <f t="shared" si="11"/>
        <v>46.699999999999996</v>
      </c>
      <c r="T27" s="51">
        <f t="shared" si="0"/>
        <v>0.5196152422710832</v>
      </c>
      <c r="U27" s="395">
        <f t="shared" si="12"/>
        <v>0.011126664716725552</v>
      </c>
      <c r="V27" s="119"/>
    </row>
    <row r="28" spans="2:22" ht="13.5" thickBot="1">
      <c r="B28" s="603"/>
      <c r="C28" s="488">
        <v>18</v>
      </c>
      <c r="D28" s="104">
        <v>39133</v>
      </c>
      <c r="E28" s="105">
        <v>11.4</v>
      </c>
      <c r="F28" s="105">
        <v>12.7</v>
      </c>
      <c r="G28" s="105">
        <v>9.8</v>
      </c>
      <c r="H28" s="56">
        <f t="shared" si="1"/>
        <v>11.4</v>
      </c>
      <c r="I28" s="57">
        <f t="shared" si="2"/>
        <v>12.7</v>
      </c>
      <c r="J28" s="58">
        <f t="shared" si="3"/>
        <v>9.8</v>
      </c>
      <c r="K28" s="60" t="str">
        <f t="shared" si="4"/>
        <v>OK</v>
      </c>
      <c r="L28" s="60" t="str">
        <f t="shared" si="5"/>
        <v>OK</v>
      </c>
      <c r="M28" s="60" t="str">
        <f t="shared" si="6"/>
        <v>OUT</v>
      </c>
      <c r="N28" s="381">
        <f t="shared" si="13"/>
        <v>2</v>
      </c>
      <c r="O28" s="528" t="str">
        <f t="shared" si="7"/>
        <v>ok</v>
      </c>
      <c r="P28" s="376">
        <f t="shared" si="8"/>
        <v>11.4</v>
      </c>
      <c r="Q28" s="376">
        <f t="shared" si="9"/>
        <v>12.7</v>
      </c>
      <c r="R28" s="376">
        <f t="shared" si="10"/>
      </c>
      <c r="S28" s="373">
        <f t="shared" si="11"/>
        <v>12.05</v>
      </c>
      <c r="T28" s="51">
        <f t="shared" si="0"/>
        <v>0.9192388155424958</v>
      </c>
      <c r="U28" s="395">
        <f t="shared" si="12"/>
        <v>0.07628537888319467</v>
      </c>
      <c r="V28" s="119"/>
    </row>
    <row r="29" spans="2:22" ht="13.5" thickBot="1">
      <c r="B29" s="603"/>
      <c r="C29" s="488">
        <v>19</v>
      </c>
      <c r="D29" s="104">
        <v>39134</v>
      </c>
      <c r="E29" s="105">
        <v>40.3</v>
      </c>
      <c r="F29" s="105">
        <v>39.9</v>
      </c>
      <c r="G29" s="105">
        <v>40.7</v>
      </c>
      <c r="H29" s="56">
        <f t="shared" si="1"/>
        <v>40.3</v>
      </c>
      <c r="I29" s="57">
        <f t="shared" si="2"/>
        <v>39.9</v>
      </c>
      <c r="J29" s="58">
        <f t="shared" si="3"/>
        <v>40.7</v>
      </c>
      <c r="K29" s="60" t="str">
        <f t="shared" si="4"/>
        <v>OK</v>
      </c>
      <c r="L29" s="60" t="str">
        <f t="shared" si="5"/>
        <v>OK</v>
      </c>
      <c r="M29" s="60" t="str">
        <f t="shared" si="6"/>
        <v>OK</v>
      </c>
      <c r="N29" s="381">
        <f t="shared" si="13"/>
        <v>3</v>
      </c>
      <c r="O29" s="528" t="str">
        <f t="shared" si="7"/>
        <v>ok</v>
      </c>
      <c r="P29" s="376">
        <f t="shared" si="8"/>
        <v>40.3</v>
      </c>
      <c r="Q29" s="376">
        <f t="shared" si="9"/>
        <v>39.9</v>
      </c>
      <c r="R29" s="376">
        <f t="shared" si="10"/>
        <v>40.7</v>
      </c>
      <c r="S29" s="373">
        <f t="shared" si="11"/>
        <v>40.3</v>
      </c>
      <c r="T29" s="51">
        <f t="shared" si="0"/>
        <v>0.40000000000038655</v>
      </c>
      <c r="U29" s="395">
        <f t="shared" si="12"/>
        <v>0.00992555831266468</v>
      </c>
      <c r="V29" s="119"/>
    </row>
    <row r="30" spans="2:22" ht="13.5" thickBot="1">
      <c r="B30" s="603"/>
      <c r="C30" s="488">
        <v>20</v>
      </c>
      <c r="D30" s="104">
        <v>39135</v>
      </c>
      <c r="E30" s="105">
        <v>5.3</v>
      </c>
      <c r="F30" s="105">
        <v>7.3</v>
      </c>
      <c r="G30" s="105">
        <v>7</v>
      </c>
      <c r="H30" s="56">
        <f t="shared" si="1"/>
        <v>5.3</v>
      </c>
      <c r="I30" s="57">
        <f t="shared" si="2"/>
        <v>7.3</v>
      </c>
      <c r="J30" s="58">
        <f t="shared" si="3"/>
        <v>7</v>
      </c>
      <c r="K30" s="60" t="str">
        <f t="shared" si="4"/>
        <v>OUT</v>
      </c>
      <c r="L30" s="60" t="str">
        <f t="shared" si="5"/>
        <v>OK</v>
      </c>
      <c r="M30" s="60" t="str">
        <f t="shared" si="6"/>
        <v>OK</v>
      </c>
      <c r="N30" s="381">
        <f t="shared" si="13"/>
        <v>2</v>
      </c>
      <c r="O30" s="528" t="str">
        <f t="shared" si="7"/>
        <v>ok</v>
      </c>
      <c r="P30" s="376">
        <f t="shared" si="8"/>
      </c>
      <c r="Q30" s="376">
        <f t="shared" si="9"/>
        <v>7.3</v>
      </c>
      <c r="R30" s="376">
        <f t="shared" si="10"/>
        <v>7</v>
      </c>
      <c r="S30" s="373">
        <f t="shared" si="11"/>
        <v>7.15</v>
      </c>
      <c r="T30" s="51">
        <f t="shared" si="0"/>
        <v>0.21213203435593478</v>
      </c>
      <c r="U30" s="395">
        <f t="shared" si="12"/>
        <v>0.02966881599383703</v>
      </c>
      <c r="V30" s="119"/>
    </row>
    <row r="31" spans="2:22" ht="13.5" thickBot="1">
      <c r="B31" s="603"/>
      <c r="C31" s="488">
        <v>21</v>
      </c>
      <c r="D31" s="104">
        <v>39136</v>
      </c>
      <c r="E31" s="105">
        <v>15.3</v>
      </c>
      <c r="F31" s="105">
        <v>14.9</v>
      </c>
      <c r="G31" s="105">
        <v>14.3</v>
      </c>
      <c r="H31" s="56">
        <f t="shared" si="1"/>
        <v>15.3</v>
      </c>
      <c r="I31" s="57">
        <f t="shared" si="2"/>
        <v>14.9</v>
      </c>
      <c r="J31" s="58">
        <f t="shared" si="3"/>
        <v>14.3</v>
      </c>
      <c r="K31" s="60" t="str">
        <f t="shared" si="4"/>
        <v>OK</v>
      </c>
      <c r="L31" s="60" t="str">
        <f t="shared" si="5"/>
        <v>OK</v>
      </c>
      <c r="M31" s="60" t="str">
        <f t="shared" si="6"/>
        <v>OK</v>
      </c>
      <c r="N31" s="381">
        <f t="shared" si="13"/>
        <v>3</v>
      </c>
      <c r="O31" s="528" t="str">
        <f t="shared" si="7"/>
        <v>ok</v>
      </c>
      <c r="P31" s="376">
        <f t="shared" si="8"/>
        <v>15.3</v>
      </c>
      <c r="Q31" s="376">
        <f t="shared" si="9"/>
        <v>14.9</v>
      </c>
      <c r="R31" s="376">
        <f t="shared" si="10"/>
        <v>14.3</v>
      </c>
      <c r="S31" s="373">
        <f t="shared" si="11"/>
        <v>14.833333333333334</v>
      </c>
      <c r="T31" s="51">
        <f t="shared" si="0"/>
        <v>0.5033222956847136</v>
      </c>
      <c r="U31" s="395">
        <f t="shared" si="12"/>
        <v>0.03393184015852002</v>
      </c>
      <c r="V31" s="119"/>
    </row>
    <row r="32" spans="2:22" ht="13.5" thickBot="1">
      <c r="B32" s="603"/>
      <c r="C32" s="488">
        <v>22</v>
      </c>
      <c r="D32" s="104">
        <v>39137</v>
      </c>
      <c r="E32" s="105">
        <v>31.9</v>
      </c>
      <c r="F32" s="105">
        <v>32.8</v>
      </c>
      <c r="G32" s="105">
        <v>30.8</v>
      </c>
      <c r="H32" s="56">
        <f t="shared" si="1"/>
        <v>31.9</v>
      </c>
      <c r="I32" s="57">
        <f t="shared" si="2"/>
        <v>32.8</v>
      </c>
      <c r="J32" s="58">
        <f t="shared" si="3"/>
        <v>30.8</v>
      </c>
      <c r="K32" s="60" t="str">
        <f t="shared" si="4"/>
        <v>OK</v>
      </c>
      <c r="L32" s="60" t="str">
        <f t="shared" si="5"/>
        <v>OK</v>
      </c>
      <c r="M32" s="60" t="str">
        <f t="shared" si="6"/>
        <v>OK</v>
      </c>
      <c r="N32" s="381">
        <f t="shared" si="13"/>
        <v>3</v>
      </c>
      <c r="O32" s="528" t="str">
        <f t="shared" si="7"/>
        <v>ok</v>
      </c>
      <c r="P32" s="376">
        <f t="shared" si="8"/>
        <v>31.9</v>
      </c>
      <c r="Q32" s="376">
        <f t="shared" si="9"/>
        <v>32.8</v>
      </c>
      <c r="R32" s="376">
        <f t="shared" si="10"/>
        <v>30.8</v>
      </c>
      <c r="S32" s="373">
        <f t="shared" si="11"/>
        <v>31.83333333333333</v>
      </c>
      <c r="T32" s="51">
        <f t="shared" si="0"/>
        <v>1.0016652800880068</v>
      </c>
      <c r="U32" s="395">
        <f t="shared" si="12"/>
        <v>0.031465925028942625</v>
      </c>
      <c r="V32" s="119"/>
    </row>
    <row r="33" spans="2:22" ht="13.5" thickBot="1">
      <c r="B33" s="604"/>
      <c r="C33" s="489">
        <v>23</v>
      </c>
      <c r="D33" s="106">
        <v>39138</v>
      </c>
      <c r="E33" s="107">
        <v>13.3</v>
      </c>
      <c r="F33" s="107">
        <v>13.5</v>
      </c>
      <c r="G33" s="107">
        <v>12.4</v>
      </c>
      <c r="H33" s="68">
        <f t="shared" si="1"/>
        <v>13.3</v>
      </c>
      <c r="I33" s="69">
        <f t="shared" si="2"/>
        <v>13.5</v>
      </c>
      <c r="J33" s="70">
        <f t="shared" si="3"/>
        <v>12.4</v>
      </c>
      <c r="K33" s="71" t="str">
        <f t="shared" si="4"/>
        <v>OK</v>
      </c>
      <c r="L33" s="71" t="str">
        <f t="shared" si="5"/>
        <v>OK</v>
      </c>
      <c r="M33" s="71" t="str">
        <f t="shared" si="6"/>
        <v>OK</v>
      </c>
      <c r="N33" s="382">
        <f t="shared" si="13"/>
        <v>3</v>
      </c>
      <c r="O33" s="529" t="str">
        <f t="shared" si="7"/>
        <v>ok</v>
      </c>
      <c r="P33" s="377">
        <f t="shared" si="8"/>
        <v>13.3</v>
      </c>
      <c r="Q33" s="378">
        <f t="shared" si="9"/>
        <v>13.5</v>
      </c>
      <c r="R33" s="378">
        <f t="shared" si="10"/>
        <v>12.4</v>
      </c>
      <c r="S33" s="437">
        <f t="shared" si="11"/>
        <v>13.066666666666668</v>
      </c>
      <c r="T33" s="52">
        <f t="shared" si="0"/>
        <v>0.5859465277081591</v>
      </c>
      <c r="U33" s="396">
        <f t="shared" si="12"/>
        <v>0.04484284650827748</v>
      </c>
      <c r="V33" s="124"/>
    </row>
    <row r="34" spans="2:22" ht="13.5" thickBot="1">
      <c r="B34" s="602" t="s">
        <v>47</v>
      </c>
      <c r="C34" s="72">
        <v>24</v>
      </c>
      <c r="D34" s="103">
        <v>39139</v>
      </c>
      <c r="E34" s="109">
        <v>26</v>
      </c>
      <c r="F34" s="109">
        <v>25</v>
      </c>
      <c r="G34" s="109">
        <v>27</v>
      </c>
      <c r="H34" s="56">
        <f t="shared" si="1"/>
        <v>26</v>
      </c>
      <c r="I34" s="57">
        <f t="shared" si="2"/>
        <v>25</v>
      </c>
      <c r="J34" s="58">
        <f t="shared" si="3"/>
        <v>27</v>
      </c>
      <c r="K34" s="59" t="str">
        <f t="shared" si="4"/>
        <v>OK</v>
      </c>
      <c r="L34" s="59" t="str">
        <f t="shared" si="5"/>
        <v>OK</v>
      </c>
      <c r="M34" s="59" t="str">
        <f t="shared" si="6"/>
        <v>OK</v>
      </c>
      <c r="N34" s="380">
        <f t="shared" si="13"/>
        <v>3</v>
      </c>
      <c r="O34" s="527" t="str">
        <f t="shared" si="7"/>
        <v>ok</v>
      </c>
      <c r="P34" s="376">
        <f t="shared" si="8"/>
        <v>26</v>
      </c>
      <c r="Q34" s="376">
        <f t="shared" si="9"/>
        <v>25</v>
      </c>
      <c r="R34" s="376">
        <f t="shared" si="10"/>
        <v>27</v>
      </c>
      <c r="S34" s="373">
        <f t="shared" si="11"/>
        <v>26</v>
      </c>
      <c r="T34" s="50">
        <f t="shared" si="0"/>
        <v>1</v>
      </c>
      <c r="U34" s="394">
        <f t="shared" si="12"/>
        <v>0.038461538461538464</v>
      </c>
      <c r="V34" s="118"/>
    </row>
    <row r="35" spans="2:22" ht="13.5" thickBot="1">
      <c r="B35" s="605"/>
      <c r="C35" s="488">
        <v>25</v>
      </c>
      <c r="D35" s="104">
        <v>39140</v>
      </c>
      <c r="E35" s="105">
        <v>49</v>
      </c>
      <c r="F35" s="105">
        <v>48.2</v>
      </c>
      <c r="G35" s="105">
        <v>47.6</v>
      </c>
      <c r="H35" s="56">
        <f t="shared" si="1"/>
        <v>49</v>
      </c>
      <c r="I35" s="57">
        <f t="shared" si="2"/>
        <v>48.2</v>
      </c>
      <c r="J35" s="58">
        <f t="shared" si="3"/>
        <v>47.6</v>
      </c>
      <c r="K35" s="60" t="str">
        <f t="shared" si="4"/>
        <v>OK</v>
      </c>
      <c r="L35" s="60" t="str">
        <f t="shared" si="5"/>
        <v>OK</v>
      </c>
      <c r="M35" s="60" t="str">
        <f t="shared" si="6"/>
        <v>OK</v>
      </c>
      <c r="N35" s="381">
        <f t="shared" si="13"/>
        <v>3</v>
      </c>
      <c r="O35" s="528" t="str">
        <f t="shared" si="7"/>
        <v>ok</v>
      </c>
      <c r="P35" s="376">
        <f t="shared" si="8"/>
        <v>49</v>
      </c>
      <c r="Q35" s="376">
        <f t="shared" si="9"/>
        <v>48.2</v>
      </c>
      <c r="R35" s="376">
        <f t="shared" si="10"/>
        <v>47.6</v>
      </c>
      <c r="S35" s="373">
        <f t="shared" si="11"/>
        <v>48.26666666666667</v>
      </c>
      <c r="T35" s="51">
        <f t="shared" si="0"/>
        <v>0.7023769168562062</v>
      </c>
      <c r="U35" s="395">
        <f t="shared" si="12"/>
        <v>0.014552007945915872</v>
      </c>
      <c r="V35" s="119"/>
    </row>
    <row r="36" spans="2:22" ht="13.5" thickBot="1">
      <c r="B36" s="605"/>
      <c r="C36" s="488">
        <v>26</v>
      </c>
      <c r="D36" s="104">
        <v>39141</v>
      </c>
      <c r="E36" s="105">
        <v>46.2</v>
      </c>
      <c r="F36" s="105">
        <v>45.1</v>
      </c>
      <c r="G36" s="105">
        <v>45.8</v>
      </c>
      <c r="H36" s="56">
        <f t="shared" si="1"/>
        <v>46.2</v>
      </c>
      <c r="I36" s="57">
        <f t="shared" si="2"/>
        <v>45.1</v>
      </c>
      <c r="J36" s="58">
        <f t="shared" si="3"/>
        <v>45.8</v>
      </c>
      <c r="K36" s="60" t="str">
        <f t="shared" si="4"/>
        <v>OK</v>
      </c>
      <c r="L36" s="60" t="str">
        <f t="shared" si="5"/>
        <v>OK</v>
      </c>
      <c r="M36" s="60" t="str">
        <f t="shared" si="6"/>
        <v>OK</v>
      </c>
      <c r="N36" s="381">
        <f t="shared" si="13"/>
        <v>3</v>
      </c>
      <c r="O36" s="528" t="str">
        <f t="shared" si="7"/>
        <v>ok</v>
      </c>
      <c r="P36" s="376">
        <f t="shared" si="8"/>
        <v>46.2</v>
      </c>
      <c r="Q36" s="376">
        <f t="shared" si="9"/>
        <v>45.1</v>
      </c>
      <c r="R36" s="376">
        <f t="shared" si="10"/>
        <v>45.8</v>
      </c>
      <c r="S36" s="373">
        <f t="shared" si="11"/>
        <v>45.70000000000001</v>
      </c>
      <c r="T36" s="51">
        <f t="shared" si="0"/>
        <v>0.5567764362821365</v>
      </c>
      <c r="U36" s="395">
        <f t="shared" si="12"/>
        <v>0.012183291822366223</v>
      </c>
      <c r="V36" s="119"/>
    </row>
    <row r="37" spans="2:22" ht="13.5" thickBot="1">
      <c r="B37" s="605"/>
      <c r="C37" s="488">
        <v>27</v>
      </c>
      <c r="D37" s="104">
        <v>39142</v>
      </c>
      <c r="E37" s="105">
        <v>21.6</v>
      </c>
      <c r="F37" s="105">
        <v>23.3</v>
      </c>
      <c r="G37" s="105">
        <v>21</v>
      </c>
      <c r="H37" s="56">
        <f t="shared" si="1"/>
        <v>21.6</v>
      </c>
      <c r="I37" s="57">
        <f t="shared" si="2"/>
        <v>23.3</v>
      </c>
      <c r="J37" s="58">
        <f t="shared" si="3"/>
        <v>21</v>
      </c>
      <c r="K37" s="60" t="str">
        <f t="shared" si="4"/>
        <v>OK</v>
      </c>
      <c r="L37" s="60" t="str">
        <f t="shared" si="5"/>
        <v>OK</v>
      </c>
      <c r="M37" s="60" t="str">
        <f t="shared" si="6"/>
        <v>OK</v>
      </c>
      <c r="N37" s="381">
        <f t="shared" si="13"/>
        <v>3</v>
      </c>
      <c r="O37" s="528" t="str">
        <f t="shared" si="7"/>
        <v>ok</v>
      </c>
      <c r="P37" s="376">
        <f t="shared" si="8"/>
        <v>21.6</v>
      </c>
      <c r="Q37" s="376">
        <f t="shared" si="9"/>
        <v>23.3</v>
      </c>
      <c r="R37" s="376">
        <f t="shared" si="10"/>
        <v>21</v>
      </c>
      <c r="S37" s="373">
        <f t="shared" si="11"/>
        <v>21.96666666666667</v>
      </c>
      <c r="T37" s="51">
        <f t="shared" si="0"/>
        <v>1.193035344544867</v>
      </c>
      <c r="U37" s="395">
        <f t="shared" si="12"/>
        <v>0.05431116894741427</v>
      </c>
      <c r="V37" s="119"/>
    </row>
    <row r="38" spans="2:22" ht="13.5" thickBot="1">
      <c r="B38" s="605"/>
      <c r="C38" s="488">
        <v>28</v>
      </c>
      <c r="D38" s="104"/>
      <c r="E38" s="105"/>
      <c r="F38" s="105"/>
      <c r="G38" s="105"/>
      <c r="H38" s="56">
        <f t="shared" si="1"/>
        <v>0</v>
      </c>
      <c r="I38" s="57">
        <f t="shared" si="2"/>
        <v>0</v>
      </c>
      <c r="J38" s="58">
        <f t="shared" si="3"/>
        <v>0</v>
      </c>
      <c r="K38" s="60">
        <f t="shared" si="4"/>
      </c>
      <c r="L38" s="60">
        <f t="shared" si="5"/>
      </c>
      <c r="M38" s="60">
        <f t="shared" si="6"/>
      </c>
      <c r="N38" s="381">
        <f t="shared" si="13"/>
      </c>
      <c r="O38" s="528">
        <f t="shared" si="7"/>
      </c>
      <c r="P38" s="376">
        <f t="shared" si="8"/>
      </c>
      <c r="Q38" s="376">
        <f t="shared" si="9"/>
      </c>
      <c r="R38" s="376">
        <f t="shared" si="10"/>
      </c>
      <c r="S38" s="373">
        <f t="shared" si="11"/>
      </c>
      <c r="T38" s="51">
        <f t="shared" si="0"/>
      </c>
      <c r="U38" s="395">
        <f t="shared" si="12"/>
      </c>
      <c r="V38" s="119"/>
    </row>
    <row r="39" spans="2:22" ht="13.5" thickBot="1">
      <c r="B39" s="605"/>
      <c r="C39" s="488">
        <v>29</v>
      </c>
      <c r="D39" s="104"/>
      <c r="E39" s="105"/>
      <c r="F39" s="105"/>
      <c r="G39" s="105"/>
      <c r="H39" s="56">
        <f t="shared" si="1"/>
        <v>0</v>
      </c>
      <c r="I39" s="57">
        <f t="shared" si="2"/>
        <v>0</v>
      </c>
      <c r="J39" s="58">
        <f t="shared" si="3"/>
        <v>0</v>
      </c>
      <c r="K39" s="60">
        <f t="shared" si="4"/>
      </c>
      <c r="L39" s="60">
        <f t="shared" si="5"/>
      </c>
      <c r="M39" s="60">
        <f t="shared" si="6"/>
      </c>
      <c r="N39" s="381">
        <f t="shared" si="13"/>
      </c>
      <c r="O39" s="528">
        <f t="shared" si="7"/>
      </c>
      <c r="P39" s="376">
        <f t="shared" si="8"/>
      </c>
      <c r="Q39" s="376">
        <f t="shared" si="9"/>
      </c>
      <c r="R39" s="376">
        <f t="shared" si="10"/>
      </c>
      <c r="S39" s="373">
        <f t="shared" si="11"/>
      </c>
      <c r="T39" s="51">
        <f t="shared" si="0"/>
      </c>
      <c r="U39" s="395">
        <f t="shared" si="12"/>
      </c>
      <c r="V39" s="119"/>
    </row>
    <row r="40" spans="2:22" ht="13.5" thickBot="1">
      <c r="B40" s="605"/>
      <c r="C40" s="488">
        <v>30</v>
      </c>
      <c r="D40" s="104"/>
      <c r="E40" s="105"/>
      <c r="F40" s="105"/>
      <c r="G40" s="105"/>
      <c r="H40" s="56">
        <f t="shared" si="1"/>
        <v>0</v>
      </c>
      <c r="I40" s="57">
        <f t="shared" si="2"/>
        <v>0</v>
      </c>
      <c r="J40" s="58">
        <f t="shared" si="3"/>
        <v>0</v>
      </c>
      <c r="K40" s="60">
        <f t="shared" si="4"/>
      </c>
      <c r="L40" s="60">
        <f t="shared" si="5"/>
      </c>
      <c r="M40" s="60">
        <f t="shared" si="6"/>
      </c>
      <c r="N40" s="381">
        <f t="shared" si="13"/>
      </c>
      <c r="O40" s="528">
        <f t="shared" si="7"/>
      </c>
      <c r="P40" s="376">
        <f t="shared" si="8"/>
      </c>
      <c r="Q40" s="376">
        <f t="shared" si="9"/>
      </c>
      <c r="R40" s="376">
        <f t="shared" si="10"/>
      </c>
      <c r="S40" s="373">
        <f t="shared" si="11"/>
      </c>
      <c r="T40" s="51">
        <f t="shared" si="0"/>
      </c>
      <c r="U40" s="395">
        <f t="shared" si="12"/>
      </c>
      <c r="V40" s="119"/>
    </row>
    <row r="41" spans="2:22" ht="13.5" thickBot="1">
      <c r="B41" s="605"/>
      <c r="C41" s="488">
        <v>31</v>
      </c>
      <c r="D41" s="104"/>
      <c r="E41" s="105"/>
      <c r="F41" s="105"/>
      <c r="G41" s="105"/>
      <c r="H41" s="56">
        <f t="shared" si="1"/>
        <v>0</v>
      </c>
      <c r="I41" s="57">
        <f t="shared" si="2"/>
        <v>0</v>
      </c>
      <c r="J41" s="58">
        <f t="shared" si="3"/>
        <v>0</v>
      </c>
      <c r="K41" s="60">
        <f t="shared" si="4"/>
      </c>
      <c r="L41" s="60">
        <f t="shared" si="5"/>
      </c>
      <c r="M41" s="60">
        <f t="shared" si="6"/>
      </c>
      <c r="N41" s="381">
        <f t="shared" si="13"/>
      </c>
      <c r="O41" s="528">
        <f t="shared" si="7"/>
      </c>
      <c r="P41" s="376">
        <f t="shared" si="8"/>
      </c>
      <c r="Q41" s="376">
        <f t="shared" si="9"/>
      </c>
      <c r="R41" s="376">
        <f t="shared" si="10"/>
      </c>
      <c r="S41" s="373">
        <f t="shared" si="11"/>
      </c>
      <c r="T41" s="51">
        <f t="shared" si="0"/>
      </c>
      <c r="U41" s="395">
        <f t="shared" si="12"/>
      </c>
      <c r="V41" s="119"/>
    </row>
    <row r="42" spans="2:22" ht="13.5" thickBot="1">
      <c r="B42" s="605"/>
      <c r="C42" s="488">
        <v>32</v>
      </c>
      <c r="D42" s="104"/>
      <c r="E42" s="105"/>
      <c r="F42" s="105"/>
      <c r="G42" s="105"/>
      <c r="H42" s="56">
        <f t="shared" si="1"/>
        <v>0</v>
      </c>
      <c r="I42" s="57">
        <f t="shared" si="2"/>
        <v>0</v>
      </c>
      <c r="J42" s="58">
        <f t="shared" si="3"/>
        <v>0</v>
      </c>
      <c r="K42" s="60">
        <f t="shared" si="4"/>
      </c>
      <c r="L42" s="60">
        <f t="shared" si="5"/>
      </c>
      <c r="M42" s="60">
        <f t="shared" si="6"/>
      </c>
      <c r="N42" s="381">
        <f t="shared" si="13"/>
      </c>
      <c r="O42" s="528">
        <f t="shared" si="7"/>
      </c>
      <c r="P42" s="376">
        <f t="shared" si="8"/>
      </c>
      <c r="Q42" s="376">
        <f t="shared" si="9"/>
      </c>
      <c r="R42" s="376">
        <f t="shared" si="10"/>
      </c>
      <c r="S42" s="373">
        <f t="shared" si="11"/>
      </c>
      <c r="T42" s="51">
        <f t="shared" si="0"/>
      </c>
      <c r="U42" s="395">
        <f t="shared" si="12"/>
      </c>
      <c r="V42" s="119"/>
    </row>
    <row r="43" spans="2:22" ht="13.5" thickBot="1">
      <c r="B43" s="605"/>
      <c r="C43" s="488">
        <v>33</v>
      </c>
      <c r="D43" s="104"/>
      <c r="E43" s="105"/>
      <c r="F43" s="105"/>
      <c r="G43" s="105"/>
      <c r="H43" s="56">
        <f t="shared" si="1"/>
        <v>0</v>
      </c>
      <c r="I43" s="57">
        <f t="shared" si="2"/>
        <v>0</v>
      </c>
      <c r="J43" s="58">
        <f t="shared" si="3"/>
        <v>0</v>
      </c>
      <c r="K43" s="60">
        <f t="shared" si="4"/>
      </c>
      <c r="L43" s="60">
        <f t="shared" si="5"/>
      </c>
      <c r="M43" s="60">
        <f t="shared" si="6"/>
      </c>
      <c r="N43" s="381">
        <f t="shared" si="13"/>
      </c>
      <c r="O43" s="528">
        <f t="shared" si="7"/>
      </c>
      <c r="P43" s="376">
        <f t="shared" si="8"/>
      </c>
      <c r="Q43" s="376">
        <f t="shared" si="9"/>
      </c>
      <c r="R43" s="376">
        <f t="shared" si="10"/>
      </c>
      <c r="S43" s="373">
        <f t="shared" si="11"/>
      </c>
      <c r="T43" s="51">
        <f aca="true" t="shared" si="14" ref="T43:T57">IF(N43="","",IF(N43&lt;2,"--  ",STDEV(P43:R43)))</f>
      </c>
      <c r="U43" s="395">
        <f t="shared" si="12"/>
      </c>
      <c r="V43" s="119"/>
    </row>
    <row r="44" spans="2:22" ht="13.5" thickBot="1">
      <c r="B44" s="605"/>
      <c r="C44" s="488">
        <v>34</v>
      </c>
      <c r="D44" s="104"/>
      <c r="E44" s="105"/>
      <c r="F44" s="105"/>
      <c r="G44" s="105"/>
      <c r="H44" s="56">
        <f t="shared" si="1"/>
        <v>0</v>
      </c>
      <c r="I44" s="57">
        <f t="shared" si="2"/>
        <v>0</v>
      </c>
      <c r="J44" s="58">
        <f t="shared" si="3"/>
        <v>0</v>
      </c>
      <c r="K44" s="60">
        <f t="shared" si="4"/>
      </c>
      <c r="L44" s="60">
        <f t="shared" si="5"/>
      </c>
      <c r="M44" s="60">
        <f t="shared" si="6"/>
      </c>
      <c r="N44" s="381">
        <f t="shared" si="13"/>
      </c>
      <c r="O44" s="528">
        <f t="shared" si="7"/>
      </c>
      <c r="P44" s="376">
        <f t="shared" si="8"/>
      </c>
      <c r="Q44" s="376">
        <f t="shared" si="9"/>
      </c>
      <c r="R44" s="376">
        <f t="shared" si="10"/>
      </c>
      <c r="S44" s="373">
        <f t="shared" si="11"/>
      </c>
      <c r="T44" s="51">
        <f t="shared" si="14"/>
      </c>
      <c r="U44" s="395">
        <f t="shared" si="12"/>
      </c>
      <c r="V44" s="119"/>
    </row>
    <row r="45" spans="2:22" ht="13.5" thickBot="1">
      <c r="B45" s="605"/>
      <c r="C45" s="488">
        <v>35</v>
      </c>
      <c r="D45" s="104"/>
      <c r="E45" s="105"/>
      <c r="F45" s="105"/>
      <c r="G45" s="105"/>
      <c r="H45" s="56">
        <f t="shared" si="1"/>
        <v>0</v>
      </c>
      <c r="I45" s="57">
        <f t="shared" si="2"/>
        <v>0</v>
      </c>
      <c r="J45" s="58">
        <f t="shared" si="3"/>
        <v>0</v>
      </c>
      <c r="K45" s="60">
        <f t="shared" si="4"/>
      </c>
      <c r="L45" s="60">
        <f t="shared" si="5"/>
      </c>
      <c r="M45" s="60">
        <f t="shared" si="6"/>
      </c>
      <c r="N45" s="381">
        <f t="shared" si="13"/>
      </c>
      <c r="O45" s="528">
        <f t="shared" si="7"/>
      </c>
      <c r="P45" s="376">
        <f t="shared" si="8"/>
      </c>
      <c r="Q45" s="376">
        <f t="shared" si="9"/>
      </c>
      <c r="R45" s="376">
        <f t="shared" si="10"/>
      </c>
      <c r="S45" s="373">
        <f t="shared" si="11"/>
      </c>
      <c r="T45" s="51">
        <f t="shared" si="14"/>
      </c>
      <c r="U45" s="395">
        <f t="shared" si="12"/>
      </c>
      <c r="V45" s="119"/>
    </row>
    <row r="46" spans="2:22" ht="13.5" thickBot="1">
      <c r="B46" s="605"/>
      <c r="C46" s="488">
        <v>36</v>
      </c>
      <c r="D46" s="104"/>
      <c r="E46" s="105"/>
      <c r="F46" s="105"/>
      <c r="G46" s="105"/>
      <c r="H46" s="56">
        <f t="shared" si="1"/>
        <v>0</v>
      </c>
      <c r="I46" s="57">
        <f t="shared" si="2"/>
        <v>0</v>
      </c>
      <c r="J46" s="58">
        <f t="shared" si="3"/>
        <v>0</v>
      </c>
      <c r="K46" s="60">
        <f t="shared" si="4"/>
      </c>
      <c r="L46" s="60">
        <f t="shared" si="5"/>
      </c>
      <c r="M46" s="60">
        <f t="shared" si="6"/>
      </c>
      <c r="N46" s="381">
        <f t="shared" si="13"/>
      </c>
      <c r="O46" s="528">
        <f t="shared" si="7"/>
      </c>
      <c r="P46" s="376">
        <f t="shared" si="8"/>
      </c>
      <c r="Q46" s="376">
        <f t="shared" si="9"/>
      </c>
      <c r="R46" s="376">
        <f t="shared" si="10"/>
      </c>
      <c r="S46" s="373">
        <f t="shared" si="11"/>
      </c>
      <c r="T46" s="51">
        <f t="shared" si="14"/>
      </c>
      <c r="U46" s="395">
        <f t="shared" si="12"/>
      </c>
      <c r="V46" s="119"/>
    </row>
    <row r="47" spans="2:22" ht="13.5" thickBot="1">
      <c r="B47" s="605"/>
      <c r="C47" s="488">
        <v>37</v>
      </c>
      <c r="D47" s="104"/>
      <c r="E47" s="105"/>
      <c r="F47" s="105"/>
      <c r="G47" s="105"/>
      <c r="H47" s="56">
        <f t="shared" si="1"/>
        <v>0</v>
      </c>
      <c r="I47" s="57">
        <f t="shared" si="2"/>
        <v>0</v>
      </c>
      <c r="J47" s="58">
        <f t="shared" si="3"/>
        <v>0</v>
      </c>
      <c r="K47" s="60">
        <f t="shared" si="4"/>
      </c>
      <c r="L47" s="60">
        <f t="shared" si="5"/>
      </c>
      <c r="M47" s="60">
        <f t="shared" si="6"/>
      </c>
      <c r="N47" s="381">
        <f t="shared" si="13"/>
      </c>
      <c r="O47" s="528">
        <f t="shared" si="7"/>
      </c>
      <c r="P47" s="376">
        <f t="shared" si="8"/>
      </c>
      <c r="Q47" s="376">
        <f t="shared" si="9"/>
      </c>
      <c r="R47" s="376">
        <f t="shared" si="10"/>
      </c>
      <c r="S47" s="373">
        <f t="shared" si="11"/>
      </c>
      <c r="T47" s="51">
        <f t="shared" si="14"/>
      </c>
      <c r="U47" s="395">
        <f t="shared" si="12"/>
      </c>
      <c r="V47" s="119"/>
    </row>
    <row r="48" spans="2:22" ht="13.5" thickBot="1">
      <c r="B48" s="605"/>
      <c r="C48" s="488">
        <v>38</v>
      </c>
      <c r="D48" s="104"/>
      <c r="E48" s="105"/>
      <c r="F48" s="105"/>
      <c r="G48" s="105"/>
      <c r="H48" s="56">
        <f t="shared" si="1"/>
        <v>0</v>
      </c>
      <c r="I48" s="57">
        <f t="shared" si="2"/>
        <v>0</v>
      </c>
      <c r="J48" s="58">
        <f t="shared" si="3"/>
        <v>0</v>
      </c>
      <c r="K48" s="60">
        <f t="shared" si="4"/>
      </c>
      <c r="L48" s="60">
        <f t="shared" si="5"/>
      </c>
      <c r="M48" s="60">
        <f t="shared" si="6"/>
      </c>
      <c r="N48" s="381">
        <f t="shared" si="13"/>
      </c>
      <c r="O48" s="528">
        <f t="shared" si="7"/>
      </c>
      <c r="P48" s="376">
        <f t="shared" si="8"/>
      </c>
      <c r="Q48" s="376">
        <f t="shared" si="9"/>
      </c>
      <c r="R48" s="376">
        <f t="shared" si="10"/>
      </c>
      <c r="S48" s="373">
        <f t="shared" si="11"/>
      </c>
      <c r="T48" s="51">
        <f t="shared" si="14"/>
      </c>
      <c r="U48" s="395">
        <f t="shared" si="12"/>
      </c>
      <c r="V48" s="119"/>
    </row>
    <row r="49" spans="2:22" ht="13.5" thickBot="1">
      <c r="B49" s="605"/>
      <c r="C49" s="488">
        <v>39</v>
      </c>
      <c r="D49" s="104"/>
      <c r="E49" s="105"/>
      <c r="F49" s="105"/>
      <c r="G49" s="105"/>
      <c r="H49" s="56">
        <f t="shared" si="1"/>
        <v>0</v>
      </c>
      <c r="I49" s="57">
        <f t="shared" si="2"/>
        <v>0</v>
      </c>
      <c r="J49" s="58">
        <f t="shared" si="3"/>
        <v>0</v>
      </c>
      <c r="K49" s="60">
        <f t="shared" si="4"/>
      </c>
      <c r="L49" s="60">
        <f t="shared" si="5"/>
      </c>
      <c r="M49" s="60">
        <f t="shared" si="6"/>
      </c>
      <c r="N49" s="381">
        <f t="shared" si="13"/>
      </c>
      <c r="O49" s="528">
        <f t="shared" si="7"/>
      </c>
      <c r="P49" s="376">
        <f t="shared" si="8"/>
      </c>
      <c r="Q49" s="376">
        <f t="shared" si="9"/>
      </c>
      <c r="R49" s="376">
        <f t="shared" si="10"/>
      </c>
      <c r="S49" s="373">
        <f t="shared" si="11"/>
      </c>
      <c r="T49" s="51">
        <f t="shared" si="14"/>
      </c>
      <c r="U49" s="395">
        <f t="shared" si="12"/>
      </c>
      <c r="V49" s="119"/>
    </row>
    <row r="50" spans="2:22" ht="13.5" thickBot="1">
      <c r="B50" s="605"/>
      <c r="C50" s="488">
        <v>40</v>
      </c>
      <c r="D50" s="104"/>
      <c r="E50" s="105"/>
      <c r="F50" s="105"/>
      <c r="G50" s="105"/>
      <c r="H50" s="56">
        <f t="shared" si="1"/>
        <v>0</v>
      </c>
      <c r="I50" s="57">
        <f t="shared" si="2"/>
        <v>0</v>
      </c>
      <c r="J50" s="58">
        <f t="shared" si="3"/>
        <v>0</v>
      </c>
      <c r="K50" s="60">
        <f t="shared" si="4"/>
      </c>
      <c r="L50" s="60">
        <f t="shared" si="5"/>
      </c>
      <c r="M50" s="60">
        <f t="shared" si="6"/>
      </c>
      <c r="N50" s="381">
        <f t="shared" si="13"/>
      </c>
      <c r="O50" s="528">
        <f t="shared" si="7"/>
      </c>
      <c r="P50" s="376">
        <f t="shared" si="8"/>
      </c>
      <c r="Q50" s="376">
        <f t="shared" si="9"/>
      </c>
      <c r="R50" s="376">
        <f t="shared" si="10"/>
      </c>
      <c r="S50" s="373">
        <f t="shared" si="11"/>
      </c>
      <c r="T50" s="51">
        <f t="shared" si="14"/>
      </c>
      <c r="U50" s="395">
        <f t="shared" si="12"/>
      </c>
      <c r="V50" s="119"/>
    </row>
    <row r="51" spans="2:22" ht="13.5" thickBot="1">
      <c r="B51" s="605"/>
      <c r="C51" s="488">
        <v>41</v>
      </c>
      <c r="D51" s="104"/>
      <c r="E51" s="105"/>
      <c r="F51" s="105"/>
      <c r="G51" s="105"/>
      <c r="H51" s="56">
        <f t="shared" si="1"/>
        <v>0</v>
      </c>
      <c r="I51" s="57">
        <f t="shared" si="2"/>
        <v>0</v>
      </c>
      <c r="J51" s="58">
        <f t="shared" si="3"/>
        <v>0</v>
      </c>
      <c r="K51" s="60">
        <f t="shared" si="4"/>
      </c>
      <c r="L51" s="60">
        <f t="shared" si="5"/>
      </c>
      <c r="M51" s="60">
        <f t="shared" si="6"/>
      </c>
      <c r="N51" s="381">
        <f t="shared" si="13"/>
      </c>
      <c r="O51" s="528">
        <f t="shared" si="7"/>
      </c>
      <c r="P51" s="376">
        <f t="shared" si="8"/>
      </c>
      <c r="Q51" s="376">
        <f t="shared" si="9"/>
      </c>
      <c r="R51" s="376">
        <f t="shared" si="10"/>
      </c>
      <c r="S51" s="373">
        <f t="shared" si="11"/>
      </c>
      <c r="T51" s="51">
        <f t="shared" si="14"/>
      </c>
      <c r="U51" s="395">
        <f t="shared" si="12"/>
      </c>
      <c r="V51" s="119"/>
    </row>
    <row r="52" spans="2:22" ht="13.5" thickBot="1">
      <c r="B52" s="605"/>
      <c r="C52" s="488">
        <v>42</v>
      </c>
      <c r="D52" s="104"/>
      <c r="E52" s="105"/>
      <c r="F52" s="105"/>
      <c r="G52" s="105"/>
      <c r="H52" s="56">
        <f t="shared" si="1"/>
        <v>0</v>
      </c>
      <c r="I52" s="57">
        <f t="shared" si="2"/>
        <v>0</v>
      </c>
      <c r="J52" s="58">
        <f t="shared" si="3"/>
        <v>0</v>
      </c>
      <c r="K52" s="60">
        <f t="shared" si="4"/>
      </c>
      <c r="L52" s="60">
        <f t="shared" si="5"/>
      </c>
      <c r="M52" s="60">
        <f t="shared" si="6"/>
      </c>
      <c r="N52" s="381">
        <f t="shared" si="13"/>
      </c>
      <c r="O52" s="528">
        <f t="shared" si="7"/>
      </c>
      <c r="P52" s="376">
        <f t="shared" si="8"/>
      </c>
      <c r="Q52" s="376">
        <f t="shared" si="9"/>
      </c>
      <c r="R52" s="376">
        <f t="shared" si="10"/>
      </c>
      <c r="S52" s="373">
        <f t="shared" si="11"/>
      </c>
      <c r="T52" s="51">
        <f t="shared" si="14"/>
      </c>
      <c r="U52" s="395">
        <f t="shared" si="12"/>
      </c>
      <c r="V52" s="119"/>
    </row>
    <row r="53" spans="2:22" ht="13.5" thickBot="1">
      <c r="B53" s="605"/>
      <c r="C53" s="488">
        <v>43</v>
      </c>
      <c r="D53" s="104"/>
      <c r="E53" s="105"/>
      <c r="F53" s="105"/>
      <c r="G53" s="105"/>
      <c r="H53" s="56">
        <f t="shared" si="1"/>
        <v>0</v>
      </c>
      <c r="I53" s="57">
        <f t="shared" si="2"/>
        <v>0</v>
      </c>
      <c r="J53" s="58">
        <f t="shared" si="3"/>
        <v>0</v>
      </c>
      <c r="K53" s="60">
        <f t="shared" si="4"/>
      </c>
      <c r="L53" s="60">
        <f t="shared" si="5"/>
      </c>
      <c r="M53" s="60">
        <f t="shared" si="6"/>
      </c>
      <c r="N53" s="381">
        <f t="shared" si="13"/>
      </c>
      <c r="O53" s="528">
        <f t="shared" si="7"/>
      </c>
      <c r="P53" s="376">
        <f t="shared" si="8"/>
      </c>
      <c r="Q53" s="376">
        <f t="shared" si="9"/>
      </c>
      <c r="R53" s="376">
        <f t="shared" si="10"/>
      </c>
      <c r="S53" s="373">
        <f t="shared" si="11"/>
      </c>
      <c r="T53" s="51">
        <f t="shared" si="14"/>
      </c>
      <c r="U53" s="395">
        <f t="shared" si="12"/>
      </c>
      <c r="V53" s="119"/>
    </row>
    <row r="54" spans="2:22" ht="13.5" thickBot="1">
      <c r="B54" s="605"/>
      <c r="C54" s="488">
        <v>44</v>
      </c>
      <c r="D54" s="104"/>
      <c r="E54" s="105"/>
      <c r="F54" s="105"/>
      <c r="G54" s="105"/>
      <c r="H54" s="56">
        <f t="shared" si="1"/>
        <v>0</v>
      </c>
      <c r="I54" s="57">
        <f t="shared" si="2"/>
        <v>0</v>
      </c>
      <c r="J54" s="58">
        <f t="shared" si="3"/>
        <v>0</v>
      </c>
      <c r="K54" s="60">
        <f t="shared" si="4"/>
      </c>
      <c r="L54" s="60">
        <f t="shared" si="5"/>
      </c>
      <c r="M54" s="60">
        <f t="shared" si="6"/>
      </c>
      <c r="N54" s="381">
        <f t="shared" si="13"/>
      </c>
      <c r="O54" s="528">
        <f t="shared" si="7"/>
      </c>
      <c r="P54" s="376">
        <f t="shared" si="8"/>
      </c>
      <c r="Q54" s="376">
        <f t="shared" si="9"/>
      </c>
      <c r="R54" s="376">
        <f t="shared" si="10"/>
      </c>
      <c r="S54" s="373">
        <f t="shared" si="11"/>
      </c>
      <c r="T54" s="51">
        <f t="shared" si="14"/>
      </c>
      <c r="U54" s="395">
        <f t="shared" si="12"/>
      </c>
      <c r="V54" s="119"/>
    </row>
    <row r="55" spans="2:22" ht="13.5" thickBot="1">
      <c r="B55" s="605"/>
      <c r="C55" s="488">
        <v>45</v>
      </c>
      <c r="D55" s="104"/>
      <c r="E55" s="105"/>
      <c r="F55" s="105"/>
      <c r="G55" s="105"/>
      <c r="H55" s="56">
        <f t="shared" si="1"/>
        <v>0</v>
      </c>
      <c r="I55" s="57">
        <f t="shared" si="2"/>
        <v>0</v>
      </c>
      <c r="J55" s="58">
        <f t="shared" si="3"/>
        <v>0</v>
      </c>
      <c r="K55" s="60">
        <f t="shared" si="4"/>
      </c>
      <c r="L55" s="60">
        <f t="shared" si="5"/>
      </c>
      <c r="M55" s="60">
        <f t="shared" si="6"/>
      </c>
      <c r="N55" s="381">
        <f t="shared" si="13"/>
      </c>
      <c r="O55" s="528">
        <f t="shared" si="7"/>
      </c>
      <c r="P55" s="376">
        <f t="shared" si="8"/>
      </c>
      <c r="Q55" s="376">
        <f t="shared" si="9"/>
      </c>
      <c r="R55" s="376">
        <f t="shared" si="10"/>
      </c>
      <c r="S55" s="373">
        <f t="shared" si="11"/>
      </c>
      <c r="T55" s="51">
        <f t="shared" si="14"/>
      </c>
      <c r="U55" s="395">
        <f t="shared" si="12"/>
      </c>
      <c r="V55" s="119"/>
    </row>
    <row r="56" spans="2:22" ht="13.5" thickBot="1">
      <c r="B56" s="606"/>
      <c r="C56" s="489">
        <v>46</v>
      </c>
      <c r="D56" s="106"/>
      <c r="E56" s="107"/>
      <c r="F56" s="107"/>
      <c r="G56" s="436"/>
      <c r="H56" s="68">
        <f t="shared" si="1"/>
        <v>0</v>
      </c>
      <c r="I56" s="69">
        <f t="shared" si="2"/>
        <v>0</v>
      </c>
      <c r="J56" s="70">
        <f t="shared" si="3"/>
        <v>0</v>
      </c>
      <c r="K56" s="71">
        <f t="shared" si="4"/>
      </c>
      <c r="L56" s="71">
        <f t="shared" si="5"/>
      </c>
      <c r="M56" s="71">
        <f t="shared" si="6"/>
      </c>
      <c r="N56" s="382">
        <f t="shared" si="13"/>
      </c>
      <c r="O56" s="529">
        <f t="shared" si="7"/>
      </c>
      <c r="P56" s="377">
        <f t="shared" si="8"/>
      </c>
      <c r="Q56" s="378">
        <f t="shared" si="9"/>
      </c>
      <c r="R56" s="378">
        <f t="shared" si="10"/>
      </c>
      <c r="S56" s="438">
        <f t="shared" si="11"/>
      </c>
      <c r="T56" s="52">
        <f t="shared" si="14"/>
      </c>
      <c r="U56" s="396">
        <f t="shared" si="12"/>
      </c>
      <c r="V56" s="124"/>
    </row>
    <row r="57" spans="2:22" ht="12.75">
      <c r="B57" s="605" t="s">
        <v>163</v>
      </c>
      <c r="C57" s="72">
        <v>47</v>
      </c>
      <c r="D57" s="108"/>
      <c r="E57" s="109"/>
      <c r="F57" s="109"/>
      <c r="G57" s="102"/>
      <c r="H57" s="90">
        <f t="shared" si="1"/>
        <v>0</v>
      </c>
      <c r="I57" s="91">
        <f t="shared" si="2"/>
        <v>0</v>
      </c>
      <c r="J57" s="92">
        <f t="shared" si="3"/>
        <v>0</v>
      </c>
      <c r="K57" s="59">
        <f t="shared" si="4"/>
      </c>
      <c r="L57" s="59">
        <f t="shared" si="5"/>
      </c>
      <c r="M57" s="59">
        <f t="shared" si="6"/>
      </c>
      <c r="N57" s="383">
        <f t="shared" si="13"/>
      </c>
      <c r="O57" s="527">
        <f t="shared" si="7"/>
      </c>
      <c r="P57" s="376">
        <f t="shared" si="8"/>
      </c>
      <c r="Q57" s="376">
        <f t="shared" si="9"/>
      </c>
      <c r="R57" s="376">
        <f t="shared" si="10"/>
      </c>
      <c r="S57" s="439">
        <f t="shared" si="11"/>
      </c>
      <c r="T57" s="50">
        <f t="shared" si="14"/>
      </c>
      <c r="U57" s="394">
        <f t="shared" si="12"/>
      </c>
      <c r="V57" s="118"/>
    </row>
    <row r="58" spans="2:22" ht="12.75">
      <c r="B58" s="605"/>
      <c r="C58" s="488">
        <v>48</v>
      </c>
      <c r="D58" s="108"/>
      <c r="E58" s="105"/>
      <c r="F58" s="105"/>
      <c r="G58" s="109"/>
      <c r="H58" s="90">
        <f aca="true" t="shared" si="15" ref="H58:H80">IF(OR(ISBLANK(E58),ISTEXT(E58)),0,E58)</f>
        <v>0</v>
      </c>
      <c r="I58" s="91">
        <f aca="true" t="shared" si="16" ref="I58:I80">IF(OR(ISBLANK(F58),ISTEXT(F58)),0,F58)</f>
        <v>0</v>
      </c>
      <c r="J58" s="92">
        <f aca="true" t="shared" si="17" ref="J58:J80">IF(OR(ISBLANK(G58),ISTEXT(G58)),0,G58)</f>
        <v>0</v>
      </c>
      <c r="K58" s="60">
        <f aca="true" t="shared" si="18" ref="K58:K80">IF(OR(H58+I58=0,H58+J58=0),"",IF(AND(OR(2*H58/(H58+I58)&lt;0.93,2*H58/(H58+I58)&gt;1.07),OR(2*H58/(H58+J58)&lt;0.93,2*H58/(H58+J58)&gt;1.07)),"OUT","OK"))</f>
      </c>
      <c r="L58" s="60">
        <f aca="true" t="shared" si="19" ref="L58:L80">IF(OR(I58+H58=0,I58+J58=0),"",IF(AND(OR(2*I58/(I58+H58)&lt;0.93,2*I58/(I58+H58)&gt;1.07),OR(2*I58/(I58+J58)&lt;0.93,2*I58/(I58+J58)&gt;1.07)),"OUT","OK"))</f>
      </c>
      <c r="M58" s="60">
        <f aca="true" t="shared" si="20" ref="M58:M80">IF(OR(J58+H58=0,J58+I58=0),"",IF(AND(OR(2*J58/(J58+H58)&lt;0.93,2*J58/(J58+H58)&gt;1.07),OR(2*J58/(J58+I58)&lt;0.93,2*J58/(J58+I58)&gt;1.07)),"OUT","OK"))</f>
      </c>
      <c r="N58" s="383">
        <f aca="true" t="shared" si="21" ref="N58:N80">IF(OR(COUNTIF(K58:M58,"OK")&gt;0,COUNTIF(K58:M58,"OUT")&gt;0),COUNTIF(K58:M58,"OK"),"")</f>
      </c>
      <c r="O58" s="528">
        <f aca="true" t="shared" si="22" ref="O58:O80">IF(N58="","",IF(OR(N58&lt;2,S58&lt;3,S58&gt;200),"NOT VALID","ok"))</f>
      </c>
      <c r="P58" s="376">
        <f aca="true" t="shared" si="23" ref="P58:P80">IF(K58="OK",E58,"")</f>
      </c>
      <c r="Q58" s="376">
        <f aca="true" t="shared" si="24" ref="Q58:Q80">IF(L58="OK",F58,"")</f>
      </c>
      <c r="R58" s="376">
        <f aca="true" t="shared" si="25" ref="R58:R80">IF(M58="OK",G58,"")</f>
      </c>
      <c r="S58" s="491">
        <f aca="true" t="shared" si="26" ref="S58:S80">IF(ISERROR(AVERAGE(P58:R58)),"",AVERAGE(P58:R58))</f>
      </c>
      <c r="T58" s="51">
        <f aca="true" t="shared" si="27" ref="T58:T80">IF(N58="","",IF(N58&lt;2,"--  ",STDEV(P58:R58)))</f>
      </c>
      <c r="U58" s="395">
        <f aca="true" t="shared" si="28" ref="U58:U80">IF(T58="","",IF(T58="--  ","--  ",T58/S58))</f>
      </c>
      <c r="V58" s="118"/>
    </row>
    <row r="59" spans="2:22" ht="12.75">
      <c r="B59" s="605"/>
      <c r="C59" s="488">
        <v>49</v>
      </c>
      <c r="D59" s="108"/>
      <c r="E59" s="105"/>
      <c r="F59" s="105"/>
      <c r="G59" s="109"/>
      <c r="H59" s="90">
        <f t="shared" si="15"/>
        <v>0</v>
      </c>
      <c r="I59" s="91">
        <f t="shared" si="16"/>
        <v>0</v>
      </c>
      <c r="J59" s="92">
        <f t="shared" si="17"/>
        <v>0</v>
      </c>
      <c r="K59" s="60">
        <f t="shared" si="18"/>
      </c>
      <c r="L59" s="60">
        <f t="shared" si="19"/>
      </c>
      <c r="M59" s="60">
        <f t="shared" si="20"/>
      </c>
      <c r="N59" s="383">
        <f t="shared" si="21"/>
      </c>
      <c r="O59" s="528">
        <f t="shared" si="22"/>
      </c>
      <c r="P59" s="376">
        <f t="shared" si="23"/>
      </c>
      <c r="Q59" s="376">
        <f t="shared" si="24"/>
      </c>
      <c r="R59" s="376">
        <f t="shared" si="25"/>
      </c>
      <c r="S59" s="491">
        <f t="shared" si="26"/>
      </c>
      <c r="T59" s="51">
        <f t="shared" si="27"/>
      </c>
      <c r="U59" s="395">
        <f t="shared" si="28"/>
      </c>
      <c r="V59" s="118"/>
    </row>
    <row r="60" spans="2:22" ht="12.75">
      <c r="B60" s="605"/>
      <c r="C60" s="488">
        <v>50</v>
      </c>
      <c r="D60" s="108"/>
      <c r="E60" s="105"/>
      <c r="F60" s="105"/>
      <c r="G60" s="109"/>
      <c r="H60" s="90">
        <f t="shared" si="15"/>
        <v>0</v>
      </c>
      <c r="I60" s="91">
        <f t="shared" si="16"/>
        <v>0</v>
      </c>
      <c r="J60" s="92">
        <f t="shared" si="17"/>
        <v>0</v>
      </c>
      <c r="K60" s="60">
        <f t="shared" si="18"/>
      </c>
      <c r="L60" s="60">
        <f t="shared" si="19"/>
      </c>
      <c r="M60" s="60">
        <f t="shared" si="20"/>
      </c>
      <c r="N60" s="383">
        <f t="shared" si="21"/>
      </c>
      <c r="O60" s="528">
        <f t="shared" si="22"/>
      </c>
      <c r="P60" s="376">
        <f t="shared" si="23"/>
      </c>
      <c r="Q60" s="376">
        <f t="shared" si="24"/>
      </c>
      <c r="R60" s="376">
        <f t="shared" si="25"/>
      </c>
      <c r="S60" s="491">
        <f t="shared" si="26"/>
      </c>
      <c r="T60" s="51">
        <f t="shared" si="27"/>
      </c>
      <c r="U60" s="395">
        <f t="shared" si="28"/>
      </c>
      <c r="V60" s="118"/>
    </row>
    <row r="61" spans="2:22" ht="12.75">
      <c r="B61" s="605"/>
      <c r="C61" s="488">
        <v>51</v>
      </c>
      <c r="D61" s="108"/>
      <c r="E61" s="105"/>
      <c r="F61" s="105"/>
      <c r="G61" s="109"/>
      <c r="H61" s="90">
        <f t="shared" si="15"/>
        <v>0</v>
      </c>
      <c r="I61" s="91">
        <f t="shared" si="16"/>
        <v>0</v>
      </c>
      <c r="J61" s="92">
        <f t="shared" si="17"/>
        <v>0</v>
      </c>
      <c r="K61" s="60">
        <f t="shared" si="18"/>
      </c>
      <c r="L61" s="60">
        <f t="shared" si="19"/>
      </c>
      <c r="M61" s="60">
        <f t="shared" si="20"/>
      </c>
      <c r="N61" s="383">
        <f t="shared" si="21"/>
      </c>
      <c r="O61" s="528">
        <f t="shared" si="22"/>
      </c>
      <c r="P61" s="376">
        <f t="shared" si="23"/>
      </c>
      <c r="Q61" s="376">
        <f t="shared" si="24"/>
      </c>
      <c r="R61" s="376">
        <f t="shared" si="25"/>
      </c>
      <c r="S61" s="491">
        <f t="shared" si="26"/>
      </c>
      <c r="T61" s="51">
        <f t="shared" si="27"/>
      </c>
      <c r="U61" s="395">
        <f t="shared" si="28"/>
      </c>
      <c r="V61" s="118"/>
    </row>
    <row r="62" spans="2:22" ht="12.75">
      <c r="B62" s="605"/>
      <c r="C62" s="488">
        <v>52</v>
      </c>
      <c r="D62" s="108"/>
      <c r="E62" s="105"/>
      <c r="F62" s="105"/>
      <c r="G62" s="109"/>
      <c r="H62" s="90">
        <f t="shared" si="15"/>
        <v>0</v>
      </c>
      <c r="I62" s="91">
        <f t="shared" si="16"/>
        <v>0</v>
      </c>
      <c r="J62" s="92">
        <f t="shared" si="17"/>
        <v>0</v>
      </c>
      <c r="K62" s="60">
        <f t="shared" si="18"/>
      </c>
      <c r="L62" s="60">
        <f t="shared" si="19"/>
      </c>
      <c r="M62" s="60">
        <f t="shared" si="20"/>
      </c>
      <c r="N62" s="383">
        <f t="shared" si="21"/>
      </c>
      <c r="O62" s="528">
        <f t="shared" si="22"/>
      </c>
      <c r="P62" s="376">
        <f t="shared" si="23"/>
      </c>
      <c r="Q62" s="376">
        <f t="shared" si="24"/>
      </c>
      <c r="R62" s="376">
        <f t="shared" si="25"/>
      </c>
      <c r="S62" s="491">
        <f t="shared" si="26"/>
      </c>
      <c r="T62" s="51">
        <f t="shared" si="27"/>
      </c>
      <c r="U62" s="395">
        <f t="shared" si="28"/>
      </c>
      <c r="V62" s="118"/>
    </row>
    <row r="63" spans="2:22" ht="12.75">
      <c r="B63" s="605"/>
      <c r="C63" s="488">
        <v>53</v>
      </c>
      <c r="D63" s="108"/>
      <c r="E63" s="105"/>
      <c r="F63" s="105"/>
      <c r="G63" s="109"/>
      <c r="H63" s="90">
        <f t="shared" si="15"/>
        <v>0</v>
      </c>
      <c r="I63" s="91">
        <f t="shared" si="16"/>
        <v>0</v>
      </c>
      <c r="J63" s="92">
        <f t="shared" si="17"/>
        <v>0</v>
      </c>
      <c r="K63" s="60">
        <f t="shared" si="18"/>
      </c>
      <c r="L63" s="60">
        <f t="shared" si="19"/>
      </c>
      <c r="M63" s="60">
        <f t="shared" si="20"/>
      </c>
      <c r="N63" s="383">
        <f t="shared" si="21"/>
      </c>
      <c r="O63" s="528">
        <f t="shared" si="22"/>
      </c>
      <c r="P63" s="376">
        <f t="shared" si="23"/>
      </c>
      <c r="Q63" s="376">
        <f t="shared" si="24"/>
      </c>
      <c r="R63" s="376">
        <f t="shared" si="25"/>
      </c>
      <c r="S63" s="491">
        <f t="shared" si="26"/>
      </c>
      <c r="T63" s="51">
        <f t="shared" si="27"/>
      </c>
      <c r="U63" s="395">
        <f t="shared" si="28"/>
      </c>
      <c r="V63" s="118"/>
    </row>
    <row r="64" spans="2:22" ht="12.75">
      <c r="B64" s="605"/>
      <c r="C64" s="488">
        <v>54</v>
      </c>
      <c r="D64" s="108"/>
      <c r="E64" s="109"/>
      <c r="F64" s="109"/>
      <c r="G64" s="109"/>
      <c r="H64" s="90">
        <f t="shared" si="15"/>
        <v>0</v>
      </c>
      <c r="I64" s="91">
        <f t="shared" si="16"/>
        <v>0</v>
      </c>
      <c r="J64" s="92">
        <f t="shared" si="17"/>
        <v>0</v>
      </c>
      <c r="K64" s="60">
        <f t="shared" si="18"/>
      </c>
      <c r="L64" s="60">
        <f t="shared" si="19"/>
      </c>
      <c r="M64" s="60">
        <f t="shared" si="20"/>
      </c>
      <c r="N64" s="383">
        <f t="shared" si="21"/>
      </c>
      <c r="O64" s="528">
        <f t="shared" si="22"/>
      </c>
      <c r="P64" s="376">
        <f t="shared" si="23"/>
      </c>
      <c r="Q64" s="376">
        <f t="shared" si="24"/>
      </c>
      <c r="R64" s="376">
        <f t="shared" si="25"/>
      </c>
      <c r="S64" s="491">
        <f t="shared" si="26"/>
      </c>
      <c r="T64" s="51">
        <f t="shared" si="27"/>
      </c>
      <c r="U64" s="395">
        <f t="shared" si="28"/>
      </c>
      <c r="V64" s="118"/>
    </row>
    <row r="65" spans="2:22" ht="12.75">
      <c r="B65" s="605"/>
      <c r="C65" s="488">
        <v>55</v>
      </c>
      <c r="D65" s="108"/>
      <c r="E65" s="105"/>
      <c r="F65" s="105"/>
      <c r="G65" s="109"/>
      <c r="H65" s="90">
        <f t="shared" si="15"/>
        <v>0</v>
      </c>
      <c r="I65" s="91">
        <f t="shared" si="16"/>
        <v>0</v>
      </c>
      <c r="J65" s="92">
        <f t="shared" si="17"/>
        <v>0</v>
      </c>
      <c r="K65" s="60">
        <f t="shared" si="18"/>
      </c>
      <c r="L65" s="60">
        <f t="shared" si="19"/>
      </c>
      <c r="M65" s="60">
        <f t="shared" si="20"/>
      </c>
      <c r="N65" s="383">
        <f t="shared" si="21"/>
      </c>
      <c r="O65" s="528">
        <f t="shared" si="22"/>
      </c>
      <c r="P65" s="376">
        <f t="shared" si="23"/>
      </c>
      <c r="Q65" s="376">
        <f t="shared" si="24"/>
      </c>
      <c r="R65" s="376">
        <f t="shared" si="25"/>
      </c>
      <c r="S65" s="491">
        <f t="shared" si="26"/>
      </c>
      <c r="T65" s="51">
        <f t="shared" si="27"/>
      </c>
      <c r="U65" s="395">
        <f t="shared" si="28"/>
      </c>
      <c r="V65" s="118"/>
    </row>
    <row r="66" spans="2:22" ht="12.75">
      <c r="B66" s="605"/>
      <c r="C66" s="488">
        <v>56</v>
      </c>
      <c r="D66" s="108"/>
      <c r="E66" s="105"/>
      <c r="F66" s="105"/>
      <c r="G66" s="109"/>
      <c r="H66" s="90">
        <f t="shared" si="15"/>
        <v>0</v>
      </c>
      <c r="I66" s="91">
        <f t="shared" si="16"/>
        <v>0</v>
      </c>
      <c r="J66" s="92">
        <f t="shared" si="17"/>
        <v>0</v>
      </c>
      <c r="K66" s="60">
        <f t="shared" si="18"/>
      </c>
      <c r="L66" s="60">
        <f t="shared" si="19"/>
      </c>
      <c r="M66" s="60">
        <f t="shared" si="20"/>
      </c>
      <c r="N66" s="383">
        <f t="shared" si="21"/>
      </c>
      <c r="O66" s="528">
        <f t="shared" si="22"/>
      </c>
      <c r="P66" s="376">
        <f t="shared" si="23"/>
      </c>
      <c r="Q66" s="376">
        <f t="shared" si="24"/>
      </c>
      <c r="R66" s="376">
        <f t="shared" si="25"/>
      </c>
      <c r="S66" s="491">
        <f t="shared" si="26"/>
      </c>
      <c r="T66" s="51">
        <f t="shared" si="27"/>
      </c>
      <c r="U66" s="395">
        <f t="shared" si="28"/>
      </c>
      <c r="V66" s="118"/>
    </row>
    <row r="67" spans="2:22" ht="12.75">
      <c r="B67" s="605"/>
      <c r="C67" s="488">
        <v>57</v>
      </c>
      <c r="D67" s="108"/>
      <c r="E67" s="105"/>
      <c r="F67" s="105"/>
      <c r="G67" s="109"/>
      <c r="H67" s="90">
        <f t="shared" si="15"/>
        <v>0</v>
      </c>
      <c r="I67" s="91">
        <f t="shared" si="16"/>
        <v>0</v>
      </c>
      <c r="J67" s="92">
        <f t="shared" si="17"/>
        <v>0</v>
      </c>
      <c r="K67" s="60">
        <f t="shared" si="18"/>
      </c>
      <c r="L67" s="60">
        <f t="shared" si="19"/>
      </c>
      <c r="M67" s="60">
        <f t="shared" si="20"/>
      </c>
      <c r="N67" s="383">
        <f t="shared" si="21"/>
      </c>
      <c r="O67" s="528">
        <f t="shared" si="22"/>
      </c>
      <c r="P67" s="376">
        <f t="shared" si="23"/>
      </c>
      <c r="Q67" s="376">
        <f t="shared" si="24"/>
      </c>
      <c r="R67" s="376">
        <f t="shared" si="25"/>
      </c>
      <c r="S67" s="491">
        <f t="shared" si="26"/>
      </c>
      <c r="T67" s="51">
        <f t="shared" si="27"/>
      </c>
      <c r="U67" s="395">
        <f t="shared" si="28"/>
      </c>
      <c r="V67" s="118"/>
    </row>
    <row r="68" spans="2:22" ht="12.75">
      <c r="B68" s="605"/>
      <c r="C68" s="488">
        <v>58</v>
      </c>
      <c r="D68" s="108"/>
      <c r="E68" s="105"/>
      <c r="F68" s="105"/>
      <c r="G68" s="109"/>
      <c r="H68" s="90">
        <f t="shared" si="15"/>
        <v>0</v>
      </c>
      <c r="I68" s="91">
        <f t="shared" si="16"/>
        <v>0</v>
      </c>
      <c r="J68" s="92">
        <f t="shared" si="17"/>
        <v>0</v>
      </c>
      <c r="K68" s="60">
        <f t="shared" si="18"/>
      </c>
      <c r="L68" s="60">
        <f t="shared" si="19"/>
      </c>
      <c r="M68" s="60">
        <f t="shared" si="20"/>
      </c>
      <c r="N68" s="383">
        <f t="shared" si="21"/>
      </c>
      <c r="O68" s="528">
        <f t="shared" si="22"/>
      </c>
      <c r="P68" s="376">
        <f t="shared" si="23"/>
      </c>
      <c r="Q68" s="376">
        <f t="shared" si="24"/>
      </c>
      <c r="R68" s="376">
        <f t="shared" si="25"/>
      </c>
      <c r="S68" s="491">
        <f t="shared" si="26"/>
      </c>
      <c r="T68" s="51">
        <f t="shared" si="27"/>
      </c>
      <c r="U68" s="395">
        <f t="shared" si="28"/>
      </c>
      <c r="V68" s="118"/>
    </row>
    <row r="69" spans="2:22" ht="12.75">
      <c r="B69" s="605"/>
      <c r="C69" s="488">
        <v>59</v>
      </c>
      <c r="D69" s="108"/>
      <c r="E69" s="105"/>
      <c r="F69" s="105"/>
      <c r="G69" s="109"/>
      <c r="H69" s="90">
        <f t="shared" si="15"/>
        <v>0</v>
      </c>
      <c r="I69" s="91">
        <f t="shared" si="16"/>
        <v>0</v>
      </c>
      <c r="J69" s="92">
        <f t="shared" si="17"/>
        <v>0</v>
      </c>
      <c r="K69" s="60">
        <f t="shared" si="18"/>
      </c>
      <c r="L69" s="60">
        <f t="shared" si="19"/>
      </c>
      <c r="M69" s="60">
        <f t="shared" si="20"/>
      </c>
      <c r="N69" s="383">
        <f t="shared" si="21"/>
      </c>
      <c r="O69" s="528">
        <f t="shared" si="22"/>
      </c>
      <c r="P69" s="376">
        <f t="shared" si="23"/>
      </c>
      <c r="Q69" s="376">
        <f t="shared" si="24"/>
      </c>
      <c r="R69" s="376">
        <f t="shared" si="25"/>
      </c>
      <c r="S69" s="491">
        <f t="shared" si="26"/>
      </c>
      <c r="T69" s="51">
        <f t="shared" si="27"/>
      </c>
      <c r="U69" s="395">
        <f t="shared" si="28"/>
      </c>
      <c r="V69" s="118"/>
    </row>
    <row r="70" spans="2:22" ht="12.75">
      <c r="B70" s="605"/>
      <c r="C70" s="488">
        <v>60</v>
      </c>
      <c r="D70" s="108"/>
      <c r="E70" s="105"/>
      <c r="F70" s="105"/>
      <c r="G70" s="109"/>
      <c r="H70" s="90">
        <f t="shared" si="15"/>
        <v>0</v>
      </c>
      <c r="I70" s="91">
        <f t="shared" si="16"/>
        <v>0</v>
      </c>
      <c r="J70" s="92">
        <f t="shared" si="17"/>
        <v>0</v>
      </c>
      <c r="K70" s="60">
        <f t="shared" si="18"/>
      </c>
      <c r="L70" s="60">
        <f t="shared" si="19"/>
      </c>
      <c r="M70" s="60">
        <f t="shared" si="20"/>
      </c>
      <c r="N70" s="383">
        <f t="shared" si="21"/>
      </c>
      <c r="O70" s="528">
        <f t="shared" si="22"/>
      </c>
      <c r="P70" s="376">
        <f t="shared" si="23"/>
      </c>
      <c r="Q70" s="376">
        <f t="shared" si="24"/>
      </c>
      <c r="R70" s="376">
        <f t="shared" si="25"/>
      </c>
      <c r="S70" s="491">
        <f t="shared" si="26"/>
      </c>
      <c r="T70" s="51">
        <f t="shared" si="27"/>
      </c>
      <c r="U70" s="395">
        <f t="shared" si="28"/>
      </c>
      <c r="V70" s="118"/>
    </row>
    <row r="71" spans="2:22" ht="12.75">
      <c r="B71" s="605"/>
      <c r="C71" s="488">
        <v>61</v>
      </c>
      <c r="D71" s="108"/>
      <c r="E71" s="109"/>
      <c r="F71" s="109"/>
      <c r="G71" s="109"/>
      <c r="H71" s="90">
        <f t="shared" si="15"/>
        <v>0</v>
      </c>
      <c r="I71" s="91">
        <f t="shared" si="16"/>
        <v>0</v>
      </c>
      <c r="J71" s="92">
        <f t="shared" si="17"/>
        <v>0</v>
      </c>
      <c r="K71" s="60">
        <f t="shared" si="18"/>
      </c>
      <c r="L71" s="60">
        <f t="shared" si="19"/>
      </c>
      <c r="M71" s="60">
        <f t="shared" si="20"/>
      </c>
      <c r="N71" s="383">
        <f t="shared" si="21"/>
      </c>
      <c r="O71" s="528">
        <f t="shared" si="22"/>
      </c>
      <c r="P71" s="376">
        <f t="shared" si="23"/>
      </c>
      <c r="Q71" s="376">
        <f t="shared" si="24"/>
      </c>
      <c r="R71" s="376">
        <f t="shared" si="25"/>
      </c>
      <c r="S71" s="491">
        <f t="shared" si="26"/>
      </c>
      <c r="T71" s="51">
        <f t="shared" si="27"/>
      </c>
      <c r="U71" s="395">
        <f t="shared" si="28"/>
      </c>
      <c r="V71" s="118"/>
    </row>
    <row r="72" spans="2:22" ht="12.75">
      <c r="B72" s="605"/>
      <c r="C72" s="488">
        <v>62</v>
      </c>
      <c r="D72" s="108"/>
      <c r="E72" s="109"/>
      <c r="F72" s="109"/>
      <c r="G72" s="109"/>
      <c r="H72" s="90">
        <f t="shared" si="15"/>
        <v>0</v>
      </c>
      <c r="I72" s="91">
        <f t="shared" si="16"/>
        <v>0</v>
      </c>
      <c r="J72" s="92">
        <f t="shared" si="17"/>
        <v>0</v>
      </c>
      <c r="K72" s="60">
        <f t="shared" si="18"/>
      </c>
      <c r="L72" s="60">
        <f t="shared" si="19"/>
      </c>
      <c r="M72" s="60">
        <f t="shared" si="20"/>
      </c>
      <c r="N72" s="383">
        <f t="shared" si="21"/>
      </c>
      <c r="O72" s="528">
        <f t="shared" si="22"/>
      </c>
      <c r="P72" s="376">
        <f t="shared" si="23"/>
      </c>
      <c r="Q72" s="376">
        <f t="shared" si="24"/>
      </c>
      <c r="R72" s="376">
        <f t="shared" si="25"/>
      </c>
      <c r="S72" s="491">
        <f t="shared" si="26"/>
      </c>
      <c r="T72" s="51">
        <f t="shared" si="27"/>
      </c>
      <c r="U72" s="395">
        <f t="shared" si="28"/>
      </c>
      <c r="V72" s="118"/>
    </row>
    <row r="73" spans="2:22" ht="12.75">
      <c r="B73" s="605"/>
      <c r="C73" s="488">
        <v>63</v>
      </c>
      <c r="D73" s="108"/>
      <c r="E73" s="109"/>
      <c r="F73" s="109"/>
      <c r="G73" s="109"/>
      <c r="H73" s="90">
        <f t="shared" si="15"/>
        <v>0</v>
      </c>
      <c r="I73" s="91">
        <f t="shared" si="16"/>
        <v>0</v>
      </c>
      <c r="J73" s="92">
        <f t="shared" si="17"/>
        <v>0</v>
      </c>
      <c r="K73" s="60">
        <f t="shared" si="18"/>
      </c>
      <c r="L73" s="60">
        <f t="shared" si="19"/>
      </c>
      <c r="M73" s="60">
        <f t="shared" si="20"/>
      </c>
      <c r="N73" s="383">
        <f t="shared" si="21"/>
      </c>
      <c r="O73" s="528">
        <f t="shared" si="22"/>
      </c>
      <c r="P73" s="376">
        <f t="shared" si="23"/>
      </c>
      <c r="Q73" s="376">
        <f t="shared" si="24"/>
      </c>
      <c r="R73" s="376">
        <f t="shared" si="25"/>
      </c>
      <c r="S73" s="491">
        <f t="shared" si="26"/>
      </c>
      <c r="T73" s="51">
        <f t="shared" si="27"/>
      </c>
      <c r="U73" s="395">
        <f t="shared" si="28"/>
      </c>
      <c r="V73" s="118"/>
    </row>
    <row r="74" spans="2:22" ht="12.75">
      <c r="B74" s="605"/>
      <c r="C74" s="488">
        <v>64</v>
      </c>
      <c r="D74" s="108"/>
      <c r="E74" s="109"/>
      <c r="F74" s="109"/>
      <c r="G74" s="109"/>
      <c r="H74" s="90">
        <f t="shared" si="15"/>
        <v>0</v>
      </c>
      <c r="I74" s="91">
        <f t="shared" si="16"/>
        <v>0</v>
      </c>
      <c r="J74" s="92">
        <f t="shared" si="17"/>
        <v>0</v>
      </c>
      <c r="K74" s="60">
        <f t="shared" si="18"/>
      </c>
      <c r="L74" s="60">
        <f t="shared" si="19"/>
      </c>
      <c r="M74" s="60">
        <f t="shared" si="20"/>
      </c>
      <c r="N74" s="383">
        <f t="shared" si="21"/>
      </c>
      <c r="O74" s="528">
        <f t="shared" si="22"/>
      </c>
      <c r="P74" s="376">
        <f t="shared" si="23"/>
      </c>
      <c r="Q74" s="376">
        <f t="shared" si="24"/>
      </c>
      <c r="R74" s="376">
        <f t="shared" si="25"/>
      </c>
      <c r="S74" s="491">
        <f t="shared" si="26"/>
      </c>
      <c r="T74" s="51">
        <f t="shared" si="27"/>
      </c>
      <c r="U74" s="395">
        <f t="shared" si="28"/>
      </c>
      <c r="V74" s="118"/>
    </row>
    <row r="75" spans="2:22" ht="12.75">
      <c r="B75" s="605"/>
      <c r="C75" s="488">
        <v>65</v>
      </c>
      <c r="D75" s="108"/>
      <c r="E75" s="109"/>
      <c r="F75" s="109"/>
      <c r="G75" s="109"/>
      <c r="H75" s="90">
        <f t="shared" si="15"/>
        <v>0</v>
      </c>
      <c r="I75" s="91">
        <f t="shared" si="16"/>
        <v>0</v>
      </c>
      <c r="J75" s="92">
        <f t="shared" si="17"/>
        <v>0</v>
      </c>
      <c r="K75" s="60">
        <f t="shared" si="18"/>
      </c>
      <c r="L75" s="60">
        <f t="shared" si="19"/>
      </c>
      <c r="M75" s="60">
        <f t="shared" si="20"/>
      </c>
      <c r="N75" s="383">
        <f t="shared" si="21"/>
      </c>
      <c r="O75" s="528">
        <f t="shared" si="22"/>
      </c>
      <c r="P75" s="376">
        <f t="shared" si="23"/>
      </c>
      <c r="Q75" s="376">
        <f t="shared" si="24"/>
      </c>
      <c r="R75" s="376">
        <f t="shared" si="25"/>
      </c>
      <c r="S75" s="491">
        <f t="shared" si="26"/>
      </c>
      <c r="T75" s="51">
        <f t="shared" si="27"/>
      </c>
      <c r="U75" s="395">
        <f t="shared" si="28"/>
      </c>
      <c r="V75" s="118"/>
    </row>
    <row r="76" spans="2:22" ht="12.75">
      <c r="B76" s="605"/>
      <c r="C76" s="488">
        <v>66</v>
      </c>
      <c r="D76" s="108"/>
      <c r="E76" s="109"/>
      <c r="F76" s="109"/>
      <c r="G76" s="109"/>
      <c r="H76" s="90">
        <f t="shared" si="15"/>
        <v>0</v>
      </c>
      <c r="I76" s="91">
        <f t="shared" si="16"/>
        <v>0</v>
      </c>
      <c r="J76" s="92">
        <f t="shared" si="17"/>
        <v>0</v>
      </c>
      <c r="K76" s="60">
        <f t="shared" si="18"/>
      </c>
      <c r="L76" s="60">
        <f t="shared" si="19"/>
      </c>
      <c r="M76" s="60">
        <f t="shared" si="20"/>
      </c>
      <c r="N76" s="383">
        <f t="shared" si="21"/>
      </c>
      <c r="O76" s="528">
        <f t="shared" si="22"/>
      </c>
      <c r="P76" s="376">
        <f t="shared" si="23"/>
      </c>
      <c r="Q76" s="376">
        <f t="shared" si="24"/>
      </c>
      <c r="R76" s="376">
        <f t="shared" si="25"/>
      </c>
      <c r="S76" s="491">
        <f t="shared" si="26"/>
      </c>
      <c r="T76" s="51">
        <f t="shared" si="27"/>
      </c>
      <c r="U76" s="395">
        <f t="shared" si="28"/>
      </c>
      <c r="V76" s="118"/>
    </row>
    <row r="77" spans="2:22" ht="12.75">
      <c r="B77" s="605"/>
      <c r="C77" s="488">
        <v>67</v>
      </c>
      <c r="D77" s="108"/>
      <c r="E77" s="109"/>
      <c r="F77" s="109"/>
      <c r="G77" s="109"/>
      <c r="H77" s="90">
        <f t="shared" si="15"/>
        <v>0</v>
      </c>
      <c r="I77" s="91">
        <f t="shared" si="16"/>
        <v>0</v>
      </c>
      <c r="J77" s="92">
        <f t="shared" si="17"/>
        <v>0</v>
      </c>
      <c r="K77" s="60">
        <f t="shared" si="18"/>
      </c>
      <c r="L77" s="60">
        <f t="shared" si="19"/>
      </c>
      <c r="M77" s="60">
        <f t="shared" si="20"/>
      </c>
      <c r="N77" s="383">
        <f t="shared" si="21"/>
      </c>
      <c r="O77" s="528">
        <f t="shared" si="22"/>
      </c>
      <c r="P77" s="376">
        <f t="shared" si="23"/>
      </c>
      <c r="Q77" s="376">
        <f t="shared" si="24"/>
      </c>
      <c r="R77" s="376">
        <f t="shared" si="25"/>
      </c>
      <c r="S77" s="491">
        <f t="shared" si="26"/>
      </c>
      <c r="T77" s="51">
        <f t="shared" si="27"/>
      </c>
      <c r="U77" s="395">
        <f t="shared" si="28"/>
      </c>
      <c r="V77" s="118"/>
    </row>
    <row r="78" spans="2:22" ht="12.75">
      <c r="B78" s="605"/>
      <c r="C78" s="488">
        <v>68</v>
      </c>
      <c r="D78" s="104"/>
      <c r="E78" s="105"/>
      <c r="F78" s="105"/>
      <c r="G78" s="105"/>
      <c r="H78" s="90">
        <f t="shared" si="15"/>
        <v>0</v>
      </c>
      <c r="I78" s="91">
        <f t="shared" si="16"/>
        <v>0</v>
      </c>
      <c r="J78" s="92">
        <f t="shared" si="17"/>
        <v>0</v>
      </c>
      <c r="K78" s="60">
        <f t="shared" si="18"/>
      </c>
      <c r="L78" s="60">
        <f t="shared" si="19"/>
      </c>
      <c r="M78" s="60">
        <f t="shared" si="20"/>
      </c>
      <c r="N78" s="383">
        <f t="shared" si="21"/>
      </c>
      <c r="O78" s="528">
        <f t="shared" si="22"/>
      </c>
      <c r="P78" s="376">
        <f t="shared" si="23"/>
      </c>
      <c r="Q78" s="376">
        <f t="shared" si="24"/>
      </c>
      <c r="R78" s="376">
        <f t="shared" si="25"/>
      </c>
      <c r="S78" s="491">
        <f t="shared" si="26"/>
      </c>
      <c r="T78" s="51">
        <f t="shared" si="27"/>
      </c>
      <c r="U78" s="395">
        <f t="shared" si="28"/>
      </c>
      <c r="V78" s="119"/>
    </row>
    <row r="79" spans="2:22" ht="12.75">
      <c r="B79" s="605"/>
      <c r="C79" s="488">
        <v>69</v>
      </c>
      <c r="D79" s="104"/>
      <c r="E79" s="105"/>
      <c r="F79" s="105"/>
      <c r="G79" s="105"/>
      <c r="H79" s="90">
        <f t="shared" si="15"/>
        <v>0</v>
      </c>
      <c r="I79" s="91">
        <f t="shared" si="16"/>
        <v>0</v>
      </c>
      <c r="J79" s="92">
        <f t="shared" si="17"/>
        <v>0</v>
      </c>
      <c r="K79" s="60">
        <f t="shared" si="18"/>
      </c>
      <c r="L79" s="60">
        <f t="shared" si="19"/>
      </c>
      <c r="M79" s="60">
        <f t="shared" si="20"/>
      </c>
      <c r="N79" s="383">
        <f t="shared" si="21"/>
      </c>
      <c r="O79" s="528">
        <f t="shared" si="22"/>
      </c>
      <c r="P79" s="376">
        <f t="shared" si="23"/>
      </c>
      <c r="Q79" s="376">
        <f t="shared" si="24"/>
      </c>
      <c r="R79" s="376">
        <f t="shared" si="25"/>
      </c>
      <c r="S79" s="491">
        <f t="shared" si="26"/>
      </c>
      <c r="T79" s="51">
        <f t="shared" si="27"/>
      </c>
      <c r="U79" s="395">
        <f t="shared" si="28"/>
      </c>
      <c r="V79" s="119"/>
    </row>
    <row r="80" spans="2:22" ht="13.5" thickBot="1">
      <c r="B80" s="607"/>
      <c r="C80" s="490">
        <v>70</v>
      </c>
      <c r="D80" s="110"/>
      <c r="E80" s="126"/>
      <c r="F80" s="126"/>
      <c r="G80" s="126"/>
      <c r="H80" s="502">
        <f t="shared" si="15"/>
        <v>0</v>
      </c>
      <c r="I80" s="503">
        <f t="shared" si="16"/>
        <v>0</v>
      </c>
      <c r="J80" s="504">
        <f t="shared" si="17"/>
        <v>0</v>
      </c>
      <c r="K80" s="369">
        <f t="shared" si="18"/>
      </c>
      <c r="L80" s="369">
        <f t="shared" si="19"/>
      </c>
      <c r="M80" s="369">
        <f t="shared" si="20"/>
      </c>
      <c r="N80" s="492">
        <f t="shared" si="21"/>
      </c>
      <c r="O80" s="530">
        <f t="shared" si="22"/>
      </c>
      <c r="P80" s="379">
        <f t="shared" si="23"/>
      </c>
      <c r="Q80" s="379">
        <f t="shared" si="24"/>
      </c>
      <c r="R80" s="379">
        <f t="shared" si="25"/>
      </c>
      <c r="S80" s="493">
        <f t="shared" si="26"/>
      </c>
      <c r="T80" s="128">
        <f t="shared" si="27"/>
      </c>
      <c r="U80" s="393">
        <f t="shared" si="28"/>
      </c>
      <c r="V80" s="120"/>
    </row>
    <row r="81" ht="14.25" thickBot="1" thickTop="1"/>
    <row r="82" spans="15:21" ht="13.5" thickBot="1">
      <c r="O82" s="88" t="s">
        <v>32</v>
      </c>
      <c r="P82" s="95"/>
      <c r="Q82" s="95"/>
      <c r="R82" s="95"/>
      <c r="S82" s="95" t="s">
        <v>33</v>
      </c>
      <c r="T82" s="86" t="s">
        <v>13</v>
      </c>
      <c r="U82" s="87" t="s">
        <v>14</v>
      </c>
    </row>
    <row r="83" spans="4:21" ht="12.75">
      <c r="D83" s="47" t="s">
        <v>31</v>
      </c>
      <c r="E83" s="72">
        <f>COUNT(E11:E80)</f>
        <v>27</v>
      </c>
      <c r="F83" s="72">
        <f>COUNT(F11:F80)</f>
        <v>27</v>
      </c>
      <c r="G83" s="73">
        <f>COUNT(G11:G80)</f>
        <v>27</v>
      </c>
      <c r="N83" s="83" t="s">
        <v>31</v>
      </c>
      <c r="O83" s="72">
        <f>COUNTIF(O11:O80,"ok")</f>
        <v>26</v>
      </c>
      <c r="P83" s="96"/>
      <c r="Q83" s="96"/>
      <c r="R83" s="96"/>
      <c r="S83" s="72">
        <f>COUNT(S11:S80)</f>
        <v>26</v>
      </c>
      <c r="T83" s="72">
        <f>COUNT(T11:T80)</f>
        <v>26</v>
      </c>
      <c r="U83" s="73">
        <f>COUNT(U11:U80)</f>
        <v>26</v>
      </c>
    </row>
    <row r="84" spans="4:21" ht="12.75">
      <c r="D84" s="48" t="s">
        <v>29</v>
      </c>
      <c r="E84" s="74">
        <f>MAX(E$11:E$80)</f>
        <v>49</v>
      </c>
      <c r="F84" s="74">
        <f>MAX(F$11:F$80)</f>
        <v>49.2</v>
      </c>
      <c r="G84" s="75">
        <f>MAX(G$11:G$80)</f>
        <v>49</v>
      </c>
      <c r="N84" s="85" t="s">
        <v>29</v>
      </c>
      <c r="O84" s="79"/>
      <c r="P84" s="97"/>
      <c r="Q84" s="97"/>
      <c r="R84" s="97"/>
      <c r="S84" s="74">
        <f>MAX(S$11:S$80)</f>
        <v>48.5</v>
      </c>
      <c r="T84" s="74">
        <f>MAX(T$11:T$80)</f>
        <v>1.193035344544867</v>
      </c>
      <c r="U84" s="80">
        <f>MAX(U$11:U$80)</f>
        <v>0.08313492035339039</v>
      </c>
    </row>
    <row r="85" spans="4:21" ht="12.75">
      <c r="D85" s="48" t="s">
        <v>30</v>
      </c>
      <c r="E85" s="74">
        <f>MIN(E$11:E$80)</f>
        <v>5.3</v>
      </c>
      <c r="F85" s="74">
        <f>MIN(F$11:F$80)</f>
        <v>7.3</v>
      </c>
      <c r="G85" s="75">
        <f>MIN(G$11:G$80)</f>
        <v>7</v>
      </c>
      <c r="N85" s="85" t="s">
        <v>30</v>
      </c>
      <c r="O85" s="79"/>
      <c r="P85" s="97"/>
      <c r="Q85" s="97"/>
      <c r="R85" s="97"/>
      <c r="S85" s="74">
        <f>MIN(S$11:S$80)</f>
        <v>7.15</v>
      </c>
      <c r="T85" s="74">
        <f>MIN(T$11:T$80)</f>
        <v>0.21213203435593478</v>
      </c>
      <c r="U85" s="80">
        <f>MIN(U$11:U$80)</f>
        <v>0.00992555831266468</v>
      </c>
    </row>
    <row r="86" spans="4:21" ht="13.5" thickBot="1">
      <c r="D86" s="49" t="s">
        <v>12</v>
      </c>
      <c r="E86" s="76">
        <f>IF(ISERROR(AVERAGE(E11:E80)),"",AVERAGE(E11:E80))</f>
        <v>27.418518518518514</v>
      </c>
      <c r="F86" s="76">
        <f>IF(ISERROR(AVERAGE(F11:F80)),"",AVERAGE(F11:F80))</f>
        <v>27.69629629629629</v>
      </c>
      <c r="G86" s="77">
        <f>IF(ISERROR(AVERAGE(G11:G80)),"",AVERAGE(G11:G80))</f>
        <v>27.5074074074074</v>
      </c>
      <c r="N86" s="84" t="s">
        <v>12</v>
      </c>
      <c r="O86" s="81"/>
      <c r="P86" s="98"/>
      <c r="Q86" s="98"/>
      <c r="R86" s="98"/>
      <c r="S86" s="76">
        <f>IF(ISERROR(AVERAGE(S11:S80)),"",AVERAGE(S11:S80))</f>
        <v>28.288461538461544</v>
      </c>
      <c r="T86" s="76">
        <f>IF(ISERROR(AVERAGE(T11:T80)),"",AVERAGE(T11:T80))</f>
        <v>0.7807517381534422</v>
      </c>
      <c r="U86" s="82">
        <f>IF(ISERROR(AVERAGE(U11:U80)),"",AVERAGE(U11:U80))</f>
        <v>0.036890266119702406</v>
      </c>
    </row>
  </sheetData>
  <sheetProtection sheet="1" objects="1" scenarios="1" selectLockedCells="1"/>
  <mergeCells count="6">
    <mergeCell ref="B11:B33"/>
    <mergeCell ref="B34:B56"/>
    <mergeCell ref="B57:B80"/>
    <mergeCell ref="F5:S5"/>
    <mergeCell ref="F6:S6"/>
    <mergeCell ref="F7:S7"/>
  </mergeCells>
  <conditionalFormatting sqref="O11:O80">
    <cfRule type="cellIs" priority="1" dxfId="0" operator="equal" stopIfTrue="1">
      <formula>"NOT VALID"</formula>
    </cfRule>
  </conditionalFormatting>
  <conditionalFormatting sqref="K11:M80 E11:G80">
    <cfRule type="cellIs" priority="2" dxfId="1" operator="equal" stopIfTrue="1">
      <formula>"OUT"</formula>
    </cfRule>
  </conditionalFormatting>
  <conditionalFormatting sqref="S11:S80">
    <cfRule type="cellIs" priority="3" dxfId="1" operator="notBetween" stopIfTrue="1">
      <formula>3</formula>
      <formula>200</formula>
    </cfRule>
  </conditionalFormatting>
  <conditionalFormatting sqref="T11:T80">
    <cfRule type="expression" priority="4" dxfId="0" stopIfTrue="1">
      <formula>O11="NOT VALID"</formula>
    </cfRule>
  </conditionalFormatting>
  <conditionalFormatting sqref="U11:U80">
    <cfRule type="expression" priority="5" dxfId="0" stopIfTrue="1">
      <formula>O11="NOT VALID"</formula>
    </cfRule>
  </conditionalFormatting>
  <printOptions/>
  <pageMargins left="0.75" right="0.75" top="1" bottom="1" header="0.5" footer="0.5"/>
  <pageSetup fitToHeight="1" fitToWidth="1" horizontalDpi="600" verticalDpi="600" orientation="portrait" scale="56"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S86"/>
  <sheetViews>
    <sheetView workbookViewId="0" topLeftCell="A1">
      <pane ySplit="10" topLeftCell="BM11" activePane="bottomLeft" state="frozen"/>
      <selection pane="topLeft" activeCell="A1" sqref="A1"/>
      <selection pane="bottomLeft" activeCell="E11" sqref="E11"/>
    </sheetView>
  </sheetViews>
  <sheetFormatPr defaultColWidth="9.140625" defaultRowHeight="12.75"/>
  <cols>
    <col min="1" max="1" width="1.7109375" style="0" customWidth="1"/>
    <col min="2" max="2" width="3.57421875" style="0" customWidth="1"/>
    <col min="3" max="3" width="3.7109375" style="0" customWidth="1"/>
    <col min="4" max="4" width="8.140625" style="0" customWidth="1"/>
    <col min="5" max="5" width="9.00390625" style="0" customWidth="1"/>
    <col min="6" max="7" width="9.421875" style="0" customWidth="1"/>
    <col min="8" max="8" width="5.57421875" style="0" hidden="1" customWidth="1"/>
    <col min="9" max="10" width="5.7109375" style="0" hidden="1" customWidth="1"/>
    <col min="13" max="13" width="9.7109375" style="0" customWidth="1"/>
    <col min="14" max="14" width="7.8515625" style="0" customWidth="1"/>
    <col min="15" max="15" width="9.00390625" style="0" customWidth="1"/>
    <col min="16" max="16" width="7.421875" style="0" customWidth="1"/>
    <col min="17" max="17" width="8.7109375" style="0" customWidth="1"/>
    <col min="18" max="18" width="7.140625" style="0" customWidth="1"/>
    <col min="19" max="19" width="33.57421875" style="0" customWidth="1"/>
  </cols>
  <sheetData>
    <row r="1" ht="13.5" customHeight="1">
      <c r="P1" s="183">
        <f>IF(ISBLANK(Title!G17),"Note: Please enter PM size category on Title sheet.","")</f>
      </c>
    </row>
    <row r="2" spans="7:16" ht="15.75" customHeight="1">
      <c r="G2" s="32" t="s">
        <v>36</v>
      </c>
      <c r="P2" s="183">
        <f>IF(ISBLANK(Title!G18),"Note: Please enter Class II or III on Title sheet.","")</f>
      </c>
    </row>
    <row r="3" ht="15" customHeight="1">
      <c r="P3" s="183">
        <f>IF(ISBLANK(Title!G23),"Note: Please enter site A, B, C, or D on Title sheet.","")</f>
      </c>
    </row>
    <row r="4" ht="4.5" customHeight="1" thickBot="1"/>
    <row r="5" spans="4:16" ht="12.75">
      <c r="D5" s="9" t="s">
        <v>2</v>
      </c>
      <c r="E5" s="29"/>
      <c r="F5" s="608" t="str">
        <f>'Raw FRM data'!F5</f>
        <v>Example</v>
      </c>
      <c r="G5" s="615"/>
      <c r="H5" s="615"/>
      <c r="I5" s="615"/>
      <c r="J5" s="615"/>
      <c r="K5" s="615"/>
      <c r="L5" s="615"/>
      <c r="M5" s="609"/>
      <c r="N5" s="609"/>
      <c r="O5" s="609"/>
      <c r="P5" s="610"/>
    </row>
    <row r="6" spans="4:16" ht="12.75">
      <c r="D6" s="28" t="s">
        <v>7</v>
      </c>
      <c r="E6" s="30"/>
      <c r="F6" s="611" t="str">
        <f>'Raw FRM data'!F6</f>
        <v>ACME Model XYZ123 Air monitor - PM2.5 Class III</v>
      </c>
      <c r="G6" s="616"/>
      <c r="H6" s="616"/>
      <c r="I6" s="616"/>
      <c r="J6" s="616"/>
      <c r="K6" s="616"/>
      <c r="L6" s="616"/>
      <c r="M6" s="612"/>
      <c r="N6" s="612"/>
      <c r="O6" s="612"/>
      <c r="P6" s="613"/>
    </row>
    <row r="7" spans="4:16" ht="13.5" thickBot="1">
      <c r="D7" s="14" t="s">
        <v>6</v>
      </c>
      <c r="E7" s="31"/>
      <c r="F7" s="617" t="str">
        <f>'Raw FRM data'!F7</f>
        <v>St. Louis test site  -  (Site location  C )</v>
      </c>
      <c r="G7" s="618"/>
      <c r="H7" s="618"/>
      <c r="I7" s="618"/>
      <c r="J7" s="618"/>
      <c r="K7" s="618"/>
      <c r="L7" s="618"/>
      <c r="M7" s="619"/>
      <c r="N7" s="619"/>
      <c r="O7" s="619"/>
      <c r="P7" s="620"/>
    </row>
    <row r="8" ht="13.5" thickBot="1"/>
    <row r="9" spans="2:19" ht="15" thickTop="1">
      <c r="B9" s="33"/>
      <c r="C9" s="34" t="s">
        <v>17</v>
      </c>
      <c r="D9" s="35" t="s">
        <v>27</v>
      </c>
      <c r="E9" s="36" t="s">
        <v>128</v>
      </c>
      <c r="F9" s="37"/>
      <c r="G9" s="100"/>
      <c r="H9" s="99" t="s">
        <v>23</v>
      </c>
      <c r="I9" s="25"/>
      <c r="J9" s="25"/>
      <c r="K9" s="346" t="s">
        <v>37</v>
      </c>
      <c r="L9" s="346"/>
      <c r="M9" s="347"/>
      <c r="N9" s="115" t="s">
        <v>38</v>
      </c>
      <c r="O9" s="35" t="s">
        <v>43</v>
      </c>
      <c r="P9" s="39" t="s">
        <v>12</v>
      </c>
      <c r="Q9" s="35" t="s">
        <v>13</v>
      </c>
      <c r="R9" s="39" t="s">
        <v>14</v>
      </c>
      <c r="S9" s="122"/>
    </row>
    <row r="10" spans="2:19" ht="15" thickBot="1">
      <c r="B10" s="40"/>
      <c r="C10" s="41" t="s">
        <v>16</v>
      </c>
      <c r="D10" s="250" t="s">
        <v>8</v>
      </c>
      <c r="E10" s="43" t="s">
        <v>40</v>
      </c>
      <c r="F10" s="44" t="s">
        <v>41</v>
      </c>
      <c r="G10" s="101" t="s">
        <v>42</v>
      </c>
      <c r="H10" s="26">
        <v>1</v>
      </c>
      <c r="I10" s="27">
        <v>2</v>
      </c>
      <c r="J10" s="27">
        <v>3</v>
      </c>
      <c r="K10" s="348" t="s">
        <v>9</v>
      </c>
      <c r="L10" s="348" t="s">
        <v>10</v>
      </c>
      <c r="M10" s="349" t="s">
        <v>11</v>
      </c>
      <c r="N10" s="116" t="s">
        <v>39</v>
      </c>
      <c r="O10" s="42" t="s">
        <v>24</v>
      </c>
      <c r="P10" s="46" t="s">
        <v>28</v>
      </c>
      <c r="Q10" s="42" t="s">
        <v>18</v>
      </c>
      <c r="R10" s="46" t="s">
        <v>19</v>
      </c>
      <c r="S10" s="117" t="s">
        <v>164</v>
      </c>
    </row>
    <row r="11" spans="2:19" ht="12.75">
      <c r="B11" s="602" t="s">
        <v>46</v>
      </c>
      <c r="C11" s="72">
        <v>1</v>
      </c>
      <c r="D11" s="249">
        <f>IF(ISBLANK('Raw FRM data'!D11),"",'Raw FRM data'!D11)</f>
        <v>39116</v>
      </c>
      <c r="E11" s="102">
        <v>44</v>
      </c>
      <c r="F11" s="102">
        <v>42.5</v>
      </c>
      <c r="G11" s="111">
        <v>42.9</v>
      </c>
      <c r="H11" s="505">
        <f>IF(OR(ISBLANK(E11),ISTEXT(E11)),0,E11)</f>
        <v>44</v>
      </c>
      <c r="I11" s="506">
        <f>IF(OR(ISBLANK(F11),ISTEXT(F11)),0,F11)</f>
        <v>42.5</v>
      </c>
      <c r="J11" s="506">
        <f>IF(OR(ISBLANK(G11),ISTEXT(G11)),0,G11)</f>
        <v>42.9</v>
      </c>
      <c r="K11" s="350" t="str">
        <f>IF(OR(H11+I11=0,H11+J11=0),"",IF(AND(OR(2*H11/(H11+I11)&lt;0.93,2*H11/(H11+I11)&gt;1.07),OR(2*H11/(H11+J11)&lt;0.93,2*H11/(H11+J11)&gt;1.07)),"OUT","OK"))</f>
        <v>OK</v>
      </c>
      <c r="L11" s="350" t="str">
        <f>IF(OR(I11+H11=0,I11+J11=0),"",IF(AND(OR(2*I11/(I11+H11)&lt;0.93,2*I11/(I11+H11)&gt;1.07),OR(2*I11/(I11+J11)&lt;0.93,2*I11/(I11+J11)&gt;1.07)),"OUT","OK"))</f>
        <v>OK</v>
      </c>
      <c r="M11" s="351" t="str">
        <f>IF(OR(J11+H11=0,J11+I11=0),"",IF(AND(OR(2*J11/(J11+H11)&lt;0.93,2*J11/(J11+H11)&gt;1.07),OR(2*J11/(J11+I11)&lt;0.93,2*J11/(J11+I11)&gt;1.07)),"OUT","OK"))</f>
        <v>OK</v>
      </c>
      <c r="N11" s="53">
        <f>IF(COUNT(E11:G11),COUNT(E11:G11),"")</f>
        <v>3</v>
      </c>
      <c r="O11" s="531" t="str">
        <f>IF(N11="","",IF(OR('Raw FRM data'!S11&lt;3,'Raw FRM data'!S11&gt;200,N11&lt;2),"NOT VALID","ok"))</f>
        <v>ok</v>
      </c>
      <c r="P11" s="388">
        <f>IF(ISERROR(AVERAGE(E11:G11)),"",AVERAGE(E11:G11))</f>
        <v>43.13333333333333</v>
      </c>
      <c r="Q11" s="50">
        <f>IF(N11="","",IF(N11&lt;2,"--  ",STDEV(E11:G11)))</f>
        <v>0.776745346515196</v>
      </c>
      <c r="R11" s="477">
        <f>IF(Q11="","",IF(Q11="--  ","--  ",Q11/P11))</f>
        <v>0.018008006487987543</v>
      </c>
      <c r="S11" s="118"/>
    </row>
    <row r="12" spans="2:19" ht="12.75">
      <c r="B12" s="603"/>
      <c r="C12" s="488">
        <v>2</v>
      </c>
      <c r="D12" s="251">
        <f>IF(ISBLANK('Raw FRM data'!D12),"",'Raw FRM data'!D12)</f>
        <v>39117</v>
      </c>
      <c r="E12" s="105">
        <v>12.2</v>
      </c>
      <c r="F12" s="105">
        <v>12.4</v>
      </c>
      <c r="G12" s="112">
        <v>8.9</v>
      </c>
      <c r="H12" s="507">
        <f aca="true" t="shared" si="0" ref="H12:J80">IF(OR(ISBLANK(E12),ISTEXT(E12)),0,E12)</f>
        <v>12.2</v>
      </c>
      <c r="I12" s="508">
        <f t="shared" si="0"/>
        <v>12.4</v>
      </c>
      <c r="J12" s="508">
        <f t="shared" si="0"/>
        <v>8.9</v>
      </c>
      <c r="K12" s="352" t="str">
        <f aca="true" t="shared" si="1" ref="K12:K57">IF(OR(H12+I12=0,H12+J12=0),"",IF(AND(OR(2*H12/(H12+I12)&lt;0.93,2*H12/(H12+I12)&gt;1.07),OR(2*H12/(H12+J12)&lt;0.93,2*H12/(H12+J12)&gt;1.07)),"OUT","OK"))</f>
        <v>OK</v>
      </c>
      <c r="L12" s="352" t="str">
        <f aca="true" t="shared" si="2" ref="L12:L57">IF(OR(I12+H12=0,I12+J12=0),"",IF(AND(OR(2*I12/(I12+H12)&lt;0.93,2*I12/(I12+H12)&gt;1.07),OR(2*I12/(I12+J12)&lt;0.93,2*I12/(I12+J12)&gt;1.07)),"OUT","OK"))</f>
        <v>OK</v>
      </c>
      <c r="M12" s="353" t="str">
        <f aca="true" t="shared" si="3" ref="M12:M57">IF(OR(J12+H12=0,J12+I12=0),"",IF(AND(OR(2*J12/(J12+H12)&lt;0.93,2*J12/(J12+H12)&gt;1.07),OR(2*J12/(J12+I12)&lt;0.93,2*J12/(J12+I12)&gt;1.07)),"OUT","OK"))</f>
        <v>OUT</v>
      </c>
      <c r="N12" s="54">
        <f aca="true" t="shared" si="4" ref="N12:N57">IF(COUNT(E12:G12),COUNT(E12:G12),"")</f>
        <v>3</v>
      </c>
      <c r="O12" s="532" t="str">
        <f>IF(N12="","",IF(OR('Raw FRM data'!S12&lt;3,'Raw FRM data'!S12&gt;200,N12&lt;2),"NOT VALID","ok"))</f>
        <v>ok</v>
      </c>
      <c r="P12" s="388">
        <f aca="true" t="shared" si="5" ref="P12:P57">IF(ISERROR(AVERAGE(E12:G12)),"",AVERAGE(E12:G12))</f>
        <v>11.166666666666666</v>
      </c>
      <c r="Q12" s="51">
        <f>IF(N12="","",IF(N12&lt;2,"--  ",STDEV(E12:G12)))</f>
        <v>1.9655363983740857</v>
      </c>
      <c r="R12" s="477">
        <f aca="true" t="shared" si="6" ref="R12:R57">IF(Q12="","",IF(Q12="--  ","--  ",Q12/P12))</f>
        <v>0.1760181849290226</v>
      </c>
      <c r="S12" s="119"/>
    </row>
    <row r="13" spans="2:19" ht="12.75">
      <c r="B13" s="603"/>
      <c r="C13" s="488">
        <v>3</v>
      </c>
      <c r="D13" s="251">
        <f>IF(ISBLANK('Raw FRM data'!D13),"",'Raw FRM data'!D13)</f>
        <v>39118</v>
      </c>
      <c r="E13" s="105">
        <v>38.1</v>
      </c>
      <c r="F13" s="105">
        <v>36.5</v>
      </c>
      <c r="G13" s="112">
        <v>36.7</v>
      </c>
      <c r="H13" s="507">
        <f t="shared" si="0"/>
        <v>38.1</v>
      </c>
      <c r="I13" s="508">
        <f t="shared" si="0"/>
        <v>36.5</v>
      </c>
      <c r="J13" s="508">
        <f t="shared" si="0"/>
        <v>36.7</v>
      </c>
      <c r="K13" s="352" t="str">
        <f t="shared" si="1"/>
        <v>OK</v>
      </c>
      <c r="L13" s="352" t="str">
        <f t="shared" si="2"/>
        <v>OK</v>
      </c>
      <c r="M13" s="353" t="str">
        <f t="shared" si="3"/>
        <v>OK</v>
      </c>
      <c r="N13" s="54">
        <f t="shared" si="4"/>
        <v>3</v>
      </c>
      <c r="O13" s="532" t="str">
        <f>IF(N13="","",IF(OR('Raw FRM data'!S13&lt;3,'Raw FRM data'!S13&gt;200,N13&lt;2),"NOT VALID","ok"))</f>
        <v>ok</v>
      </c>
      <c r="P13" s="388">
        <f t="shared" si="5"/>
        <v>37.1</v>
      </c>
      <c r="Q13" s="51">
        <f>IF(N13="","",IF(N13&lt;2,"--  ",STDEV(E13:G13)))</f>
        <v>0.8717797887082599</v>
      </c>
      <c r="R13" s="477">
        <f t="shared" si="6"/>
        <v>0.02349810751235202</v>
      </c>
      <c r="S13" s="119"/>
    </row>
    <row r="14" spans="2:19" ht="12.75">
      <c r="B14" s="603"/>
      <c r="C14" s="488">
        <v>4</v>
      </c>
      <c r="D14" s="251">
        <f>IF(ISBLANK('Raw FRM data'!D14),"",'Raw FRM data'!D14)</f>
        <v>39119</v>
      </c>
      <c r="E14" s="105">
        <v>41.8</v>
      </c>
      <c r="F14" s="105">
        <v>44.2</v>
      </c>
      <c r="G14" s="112">
        <v>40</v>
      </c>
      <c r="H14" s="507">
        <f t="shared" si="0"/>
        <v>41.8</v>
      </c>
      <c r="I14" s="508">
        <f t="shared" si="0"/>
        <v>44.2</v>
      </c>
      <c r="J14" s="508">
        <f t="shared" si="0"/>
        <v>40</v>
      </c>
      <c r="K14" s="352" t="str">
        <f t="shared" si="1"/>
        <v>OK</v>
      </c>
      <c r="L14" s="352" t="str">
        <f t="shared" si="2"/>
        <v>OK</v>
      </c>
      <c r="M14" s="353" t="str">
        <f t="shared" si="3"/>
        <v>OK</v>
      </c>
      <c r="N14" s="54">
        <f t="shared" si="4"/>
        <v>3</v>
      </c>
      <c r="O14" s="532" t="str">
        <f>IF(N14="","",IF(OR('Raw FRM data'!S14&lt;3,'Raw FRM data'!S14&gt;200,N14&lt;2),"NOT VALID","ok"))</f>
        <v>ok</v>
      </c>
      <c r="P14" s="388">
        <f t="shared" si="5"/>
        <v>42</v>
      </c>
      <c r="Q14" s="51">
        <f aca="true" t="shared" si="7" ref="Q14:Q57">IF(N14="","",IF(N14&lt;2,"--  ",STDEV(E14:G14)))</f>
        <v>2.1071307505705605</v>
      </c>
      <c r="R14" s="477">
        <f t="shared" si="6"/>
        <v>0.05016977977548954</v>
      </c>
      <c r="S14" s="119"/>
    </row>
    <row r="15" spans="2:19" ht="12.75">
      <c r="B15" s="603"/>
      <c r="C15" s="488">
        <v>5</v>
      </c>
      <c r="D15" s="251">
        <f>IF(ISBLANK('Raw FRM data'!D15),"",'Raw FRM data'!D15)</f>
        <v>39120</v>
      </c>
      <c r="E15" s="105">
        <v>20.4</v>
      </c>
      <c r="F15" s="105">
        <v>18.1</v>
      </c>
      <c r="G15" s="112">
        <v>20.1</v>
      </c>
      <c r="H15" s="507">
        <f t="shared" si="0"/>
        <v>20.4</v>
      </c>
      <c r="I15" s="508">
        <f t="shared" si="0"/>
        <v>18.1</v>
      </c>
      <c r="J15" s="508">
        <f t="shared" si="0"/>
        <v>20.1</v>
      </c>
      <c r="K15" s="352" t="str">
        <f t="shared" si="1"/>
        <v>OK</v>
      </c>
      <c r="L15" s="352" t="str">
        <f t="shared" si="2"/>
        <v>OK</v>
      </c>
      <c r="M15" s="353" t="str">
        <f t="shared" si="3"/>
        <v>OK</v>
      </c>
      <c r="N15" s="54">
        <f t="shared" si="4"/>
        <v>3</v>
      </c>
      <c r="O15" s="532" t="str">
        <f>IF(N15="","",IF(OR('Raw FRM data'!S15&lt;3,'Raw FRM data'!S15&gt;200,N15&lt;2),"NOT VALID","ok"))</f>
        <v>ok</v>
      </c>
      <c r="P15" s="388">
        <f t="shared" si="5"/>
        <v>19.533333333333335</v>
      </c>
      <c r="Q15" s="51">
        <f t="shared" si="7"/>
        <v>1.2503332889007137</v>
      </c>
      <c r="R15" s="477">
        <f t="shared" si="6"/>
        <v>0.06401023663314233</v>
      </c>
      <c r="S15" s="119"/>
    </row>
    <row r="16" spans="2:19" ht="12.75">
      <c r="B16" s="603"/>
      <c r="C16" s="488">
        <v>6</v>
      </c>
      <c r="D16" s="251">
        <f>IF(ISBLANK('Raw FRM data'!D16),"",'Raw FRM data'!D16)</f>
        <v>39121</v>
      </c>
      <c r="E16" s="105">
        <v>22.8</v>
      </c>
      <c r="F16" s="105">
        <v>27</v>
      </c>
      <c r="G16" s="112">
        <v>22.8</v>
      </c>
      <c r="H16" s="507">
        <f t="shared" si="0"/>
        <v>22.8</v>
      </c>
      <c r="I16" s="508">
        <f t="shared" si="0"/>
        <v>27</v>
      </c>
      <c r="J16" s="508">
        <f t="shared" si="0"/>
        <v>22.8</v>
      </c>
      <c r="K16" s="352" t="str">
        <f t="shared" si="1"/>
        <v>OK</v>
      </c>
      <c r="L16" s="352" t="str">
        <f t="shared" si="2"/>
        <v>OUT</v>
      </c>
      <c r="M16" s="353" t="str">
        <f t="shared" si="3"/>
        <v>OK</v>
      </c>
      <c r="N16" s="54">
        <f t="shared" si="4"/>
        <v>3</v>
      </c>
      <c r="O16" s="532" t="str">
        <f>IF(N16="","",IF(OR('Raw FRM data'!S16&lt;3,'Raw FRM data'!S16&gt;200,N16&lt;2),"NOT VALID","ok"))</f>
        <v>ok</v>
      </c>
      <c r="P16" s="388">
        <f t="shared" si="5"/>
        <v>24.2</v>
      </c>
      <c r="Q16" s="51">
        <f t="shared" si="7"/>
        <v>2.424871130596474</v>
      </c>
      <c r="R16" s="477">
        <f t="shared" si="6"/>
        <v>0.10020128638828406</v>
      </c>
      <c r="S16" s="119"/>
    </row>
    <row r="17" spans="2:19" ht="12.75">
      <c r="B17" s="603"/>
      <c r="C17" s="488">
        <v>7</v>
      </c>
      <c r="D17" s="251">
        <f>IF(ISBLANK('Raw FRM data'!D17),"",'Raw FRM data'!D17)</f>
        <v>39122</v>
      </c>
      <c r="E17" s="105">
        <v>45.4</v>
      </c>
      <c r="F17" s="105">
        <v>48.7</v>
      </c>
      <c r="G17" s="112">
        <v>45.6</v>
      </c>
      <c r="H17" s="507">
        <f t="shared" si="0"/>
        <v>45.4</v>
      </c>
      <c r="I17" s="508">
        <f t="shared" si="0"/>
        <v>48.7</v>
      </c>
      <c r="J17" s="508">
        <f t="shared" si="0"/>
        <v>45.6</v>
      </c>
      <c r="K17" s="352" t="str">
        <f t="shared" si="1"/>
        <v>OK</v>
      </c>
      <c r="L17" s="352" t="str">
        <f t="shared" si="2"/>
        <v>OK</v>
      </c>
      <c r="M17" s="353" t="str">
        <f t="shared" si="3"/>
        <v>OK</v>
      </c>
      <c r="N17" s="54">
        <f t="shared" si="4"/>
        <v>3</v>
      </c>
      <c r="O17" s="532" t="str">
        <f>IF(N17="","",IF(OR('Raw FRM data'!S17&lt;3,'Raw FRM data'!S17&gt;200,N17&lt;2),"NOT VALID","ok"))</f>
        <v>ok</v>
      </c>
      <c r="P17" s="388">
        <f t="shared" si="5"/>
        <v>46.56666666666666</v>
      </c>
      <c r="Q17" s="51">
        <f t="shared" si="7"/>
        <v>1.8502252115173816</v>
      </c>
      <c r="R17" s="477">
        <f t="shared" si="6"/>
        <v>0.03973282487152573</v>
      </c>
      <c r="S17" s="119"/>
    </row>
    <row r="18" spans="2:19" ht="12.75">
      <c r="B18" s="603"/>
      <c r="C18" s="488">
        <v>8</v>
      </c>
      <c r="D18" s="251">
        <f>IF(ISBLANK('Raw FRM data'!D18),"",'Raw FRM data'!D18)</f>
        <v>39123</v>
      </c>
      <c r="E18" s="105">
        <v>33.7</v>
      </c>
      <c r="F18" s="105">
        <v>35.6</v>
      </c>
      <c r="G18" s="112">
        <v>34.6</v>
      </c>
      <c r="H18" s="507">
        <f t="shared" si="0"/>
        <v>33.7</v>
      </c>
      <c r="I18" s="508">
        <f t="shared" si="0"/>
        <v>35.6</v>
      </c>
      <c r="J18" s="508">
        <f t="shared" si="0"/>
        <v>34.6</v>
      </c>
      <c r="K18" s="352" t="str">
        <f t="shared" si="1"/>
        <v>OK</v>
      </c>
      <c r="L18" s="352" t="str">
        <f t="shared" si="2"/>
        <v>OK</v>
      </c>
      <c r="M18" s="353" t="str">
        <f t="shared" si="3"/>
        <v>OK</v>
      </c>
      <c r="N18" s="54">
        <f t="shared" si="4"/>
        <v>3</v>
      </c>
      <c r="O18" s="532" t="str">
        <f>IF(N18="","",IF(OR('Raw FRM data'!S18&lt;3,'Raw FRM data'!S18&gt;200,N18&lt;2),"NOT VALID","ok"))</f>
        <v>ok</v>
      </c>
      <c r="P18" s="388">
        <f t="shared" si="5"/>
        <v>34.63333333333333</v>
      </c>
      <c r="Q18" s="51">
        <f t="shared" si="7"/>
        <v>0.9504384952921435</v>
      </c>
      <c r="R18" s="477">
        <f t="shared" si="6"/>
        <v>0.027442882443469013</v>
      </c>
      <c r="S18" s="119"/>
    </row>
    <row r="19" spans="2:19" ht="12.75">
      <c r="B19" s="603"/>
      <c r="C19" s="488">
        <v>9</v>
      </c>
      <c r="D19" s="251">
        <f>IF(ISBLANK('Raw FRM data'!D19),"",'Raw FRM data'!D19)</f>
        <v>39124</v>
      </c>
      <c r="E19" s="105">
        <v>11.1</v>
      </c>
      <c r="F19" s="105">
        <v>9</v>
      </c>
      <c r="G19" s="112">
        <v>14.2</v>
      </c>
      <c r="H19" s="507">
        <f t="shared" si="0"/>
        <v>11.1</v>
      </c>
      <c r="I19" s="508">
        <f t="shared" si="0"/>
        <v>9</v>
      </c>
      <c r="J19" s="508">
        <f t="shared" si="0"/>
        <v>14.2</v>
      </c>
      <c r="K19" s="352" t="str">
        <f t="shared" si="1"/>
        <v>OUT</v>
      </c>
      <c r="L19" s="352" t="str">
        <f t="shared" si="2"/>
        <v>OUT</v>
      </c>
      <c r="M19" s="353" t="str">
        <f t="shared" si="3"/>
        <v>OUT</v>
      </c>
      <c r="N19" s="54">
        <f t="shared" si="4"/>
        <v>3</v>
      </c>
      <c r="O19" s="532" t="str">
        <f>IF(N19="","",IF(OR('Raw FRM data'!S19&lt;3,'Raw FRM data'!S19&gt;200,N19&lt;2),"NOT VALID","ok"))</f>
        <v>ok</v>
      </c>
      <c r="P19" s="388">
        <f t="shared" si="5"/>
        <v>11.433333333333332</v>
      </c>
      <c r="Q19" s="51">
        <f t="shared" si="7"/>
        <v>2.6159765544311293</v>
      </c>
      <c r="R19" s="477">
        <f t="shared" si="6"/>
        <v>0.22880261409018626</v>
      </c>
      <c r="S19" s="119"/>
    </row>
    <row r="20" spans="2:19" ht="12.75">
      <c r="B20" s="603"/>
      <c r="C20" s="488">
        <v>10</v>
      </c>
      <c r="D20" s="251">
        <f>IF(ISBLANK('Raw FRM data'!D20),"",'Raw FRM data'!D20)</f>
        <v>39125</v>
      </c>
      <c r="E20" s="105">
        <v>36.7</v>
      </c>
      <c r="F20" s="105">
        <v>35.9</v>
      </c>
      <c r="G20" s="112">
        <v>37.7</v>
      </c>
      <c r="H20" s="507">
        <f t="shared" si="0"/>
        <v>36.7</v>
      </c>
      <c r="I20" s="508">
        <f t="shared" si="0"/>
        <v>35.9</v>
      </c>
      <c r="J20" s="508">
        <f t="shared" si="0"/>
        <v>37.7</v>
      </c>
      <c r="K20" s="352" t="str">
        <f t="shared" si="1"/>
        <v>OK</v>
      </c>
      <c r="L20" s="352" t="str">
        <f t="shared" si="2"/>
        <v>OK</v>
      </c>
      <c r="M20" s="353" t="str">
        <f t="shared" si="3"/>
        <v>OK</v>
      </c>
      <c r="N20" s="54">
        <f t="shared" si="4"/>
        <v>3</v>
      </c>
      <c r="O20" s="532" t="str">
        <f>IF(N20="","",IF(OR('Raw FRM data'!S20&lt;3,'Raw FRM data'!S20&gt;200,N20&lt;2),"NOT VALID","ok"))</f>
        <v>ok</v>
      </c>
      <c r="P20" s="388">
        <f t="shared" si="5"/>
        <v>36.766666666666666</v>
      </c>
      <c r="Q20" s="51">
        <f t="shared" si="7"/>
        <v>0.901849950564547</v>
      </c>
      <c r="R20" s="477">
        <f t="shared" si="6"/>
        <v>0.024529010441465465</v>
      </c>
      <c r="S20" s="119"/>
    </row>
    <row r="21" spans="2:19" ht="12.75">
      <c r="B21" s="603"/>
      <c r="C21" s="488">
        <v>11</v>
      </c>
      <c r="D21" s="251">
        <f>IF(ISBLANK('Raw FRM data'!D21),"",'Raw FRM data'!D21)</f>
        <v>39126</v>
      </c>
      <c r="E21" s="105">
        <v>7.8</v>
      </c>
      <c r="F21" s="105">
        <v>9.7</v>
      </c>
      <c r="G21" s="112">
        <v>6.2</v>
      </c>
      <c r="H21" s="507">
        <f t="shared" si="0"/>
        <v>7.8</v>
      </c>
      <c r="I21" s="508">
        <f t="shared" si="0"/>
        <v>9.7</v>
      </c>
      <c r="J21" s="508">
        <f t="shared" si="0"/>
        <v>6.2</v>
      </c>
      <c r="K21" s="352" t="str">
        <f t="shared" si="1"/>
        <v>OUT</v>
      </c>
      <c r="L21" s="352" t="str">
        <f t="shared" si="2"/>
        <v>OUT</v>
      </c>
      <c r="M21" s="353" t="str">
        <f t="shared" si="3"/>
        <v>OUT</v>
      </c>
      <c r="N21" s="54">
        <f t="shared" si="4"/>
        <v>3</v>
      </c>
      <c r="O21" s="532" t="str">
        <f>IF(N21="","",IF(OR('Raw FRM data'!S21&lt;3,'Raw FRM data'!S21&gt;200,N21&lt;2),"NOT VALID","ok"))</f>
        <v>ok</v>
      </c>
      <c r="P21" s="388">
        <f t="shared" si="5"/>
        <v>7.8999999999999995</v>
      </c>
      <c r="Q21" s="51">
        <f t="shared" si="7"/>
        <v>1.7521415467935213</v>
      </c>
      <c r="R21" s="477">
        <f t="shared" si="6"/>
        <v>0.2217900692143698</v>
      </c>
      <c r="S21" s="119"/>
    </row>
    <row r="22" spans="2:19" ht="12.75">
      <c r="B22" s="603"/>
      <c r="C22" s="488">
        <v>12</v>
      </c>
      <c r="D22" s="251">
        <f>IF(ISBLANK('Raw FRM data'!D22),"",'Raw FRM data'!D22)</f>
        <v>39127</v>
      </c>
      <c r="E22" s="105">
        <v>10.5</v>
      </c>
      <c r="F22" s="105">
        <v>10.2</v>
      </c>
      <c r="G22" s="112">
        <v>13.1</v>
      </c>
      <c r="H22" s="507">
        <f t="shared" si="0"/>
        <v>10.5</v>
      </c>
      <c r="I22" s="508">
        <f t="shared" si="0"/>
        <v>10.2</v>
      </c>
      <c r="J22" s="508">
        <f t="shared" si="0"/>
        <v>13.1</v>
      </c>
      <c r="K22" s="352" t="str">
        <f t="shared" si="1"/>
        <v>OK</v>
      </c>
      <c r="L22" s="352" t="str">
        <f t="shared" si="2"/>
        <v>OK</v>
      </c>
      <c r="M22" s="353" t="str">
        <f t="shared" si="3"/>
        <v>OUT</v>
      </c>
      <c r="N22" s="54">
        <f t="shared" si="4"/>
        <v>3</v>
      </c>
      <c r="O22" s="532" t="str">
        <f>IF(N22="","",IF(OR('Raw FRM data'!S22&lt;3,'Raw FRM data'!S22&gt;200,N22&lt;2),"NOT VALID","ok"))</f>
        <v>NOT VALID</v>
      </c>
      <c r="P22" s="388">
        <f t="shared" si="5"/>
        <v>11.266666666666666</v>
      </c>
      <c r="Q22" s="51">
        <f t="shared" si="7"/>
        <v>1.5947831618540969</v>
      </c>
      <c r="R22" s="477">
        <f t="shared" si="6"/>
        <v>0.14154880134799677</v>
      </c>
      <c r="S22" s="119"/>
    </row>
    <row r="23" spans="2:19" ht="12.75">
      <c r="B23" s="603"/>
      <c r="C23" s="488">
        <v>13</v>
      </c>
      <c r="D23" s="251">
        <f>IF(ISBLANK('Raw FRM data'!D23),"",'Raw FRM data'!D23)</f>
        <v>39128</v>
      </c>
      <c r="E23" s="105">
        <v>30</v>
      </c>
      <c r="F23" s="105">
        <v>33</v>
      </c>
      <c r="G23" s="112">
        <v>29.9</v>
      </c>
      <c r="H23" s="507">
        <f t="shared" si="0"/>
        <v>30</v>
      </c>
      <c r="I23" s="508">
        <f t="shared" si="0"/>
        <v>33</v>
      </c>
      <c r="J23" s="508">
        <f t="shared" si="0"/>
        <v>29.9</v>
      </c>
      <c r="K23" s="352" t="str">
        <f t="shared" si="1"/>
        <v>OK</v>
      </c>
      <c r="L23" s="352" t="str">
        <f t="shared" si="2"/>
        <v>OK</v>
      </c>
      <c r="M23" s="353" t="str">
        <f t="shared" si="3"/>
        <v>OK</v>
      </c>
      <c r="N23" s="54">
        <f t="shared" si="4"/>
        <v>3</v>
      </c>
      <c r="O23" s="532" t="str">
        <f>IF(N23="","",IF(OR('Raw FRM data'!S23&lt;3,'Raw FRM data'!S23&gt;200,N23&lt;2),"NOT VALID","ok"))</f>
        <v>ok</v>
      </c>
      <c r="P23" s="388">
        <f t="shared" si="5"/>
        <v>30.96666666666667</v>
      </c>
      <c r="Q23" s="51">
        <f t="shared" si="7"/>
        <v>1.761628034896417</v>
      </c>
      <c r="R23" s="477">
        <f t="shared" si="6"/>
        <v>0.05688788056716094</v>
      </c>
      <c r="S23" s="119"/>
    </row>
    <row r="24" spans="2:19" ht="12.75">
      <c r="B24" s="603"/>
      <c r="C24" s="488">
        <v>14</v>
      </c>
      <c r="D24" s="251">
        <f>IF(ISBLANK('Raw FRM data'!D24),"",'Raw FRM data'!D24)</f>
        <v>39129</v>
      </c>
      <c r="E24" s="105">
        <v>13.2</v>
      </c>
      <c r="F24" s="105">
        <v>12.5</v>
      </c>
      <c r="G24" s="112">
        <v>10.9</v>
      </c>
      <c r="H24" s="507">
        <f t="shared" si="0"/>
        <v>13.2</v>
      </c>
      <c r="I24" s="508">
        <f t="shared" si="0"/>
        <v>12.5</v>
      </c>
      <c r="J24" s="508">
        <f t="shared" si="0"/>
        <v>10.9</v>
      </c>
      <c r="K24" s="352" t="str">
        <f t="shared" si="1"/>
        <v>OK</v>
      </c>
      <c r="L24" s="352" t="str">
        <f t="shared" si="2"/>
        <v>OK</v>
      </c>
      <c r="M24" s="353" t="str">
        <f t="shared" si="3"/>
        <v>OK</v>
      </c>
      <c r="N24" s="54">
        <f t="shared" si="4"/>
        <v>3</v>
      </c>
      <c r="O24" s="532" t="str">
        <f>IF(N24="","",IF(OR('Raw FRM data'!S24&lt;3,'Raw FRM data'!S24&gt;200,N24&lt;2),"NOT VALID","ok"))</f>
        <v>ok</v>
      </c>
      <c r="P24" s="388">
        <f t="shared" si="5"/>
        <v>12.200000000000001</v>
      </c>
      <c r="Q24" s="51">
        <f t="shared" si="7"/>
        <v>1.1789826122551539</v>
      </c>
      <c r="R24" s="477">
        <f t="shared" si="6"/>
        <v>0.09663791903730769</v>
      </c>
      <c r="S24" s="119"/>
    </row>
    <row r="25" spans="2:19" ht="12.75">
      <c r="B25" s="603"/>
      <c r="C25" s="488">
        <v>15</v>
      </c>
      <c r="D25" s="251">
        <f>IF(ISBLANK('Raw FRM data'!D25),"",'Raw FRM data'!D25)</f>
        <v>39130</v>
      </c>
      <c r="E25" s="105">
        <v>26.1</v>
      </c>
      <c r="F25" s="105">
        <v>24.5</v>
      </c>
      <c r="G25" s="112">
        <v>29.5</v>
      </c>
      <c r="H25" s="507">
        <f t="shared" si="0"/>
        <v>26.1</v>
      </c>
      <c r="I25" s="508">
        <f t="shared" si="0"/>
        <v>24.5</v>
      </c>
      <c r="J25" s="508">
        <f t="shared" si="0"/>
        <v>29.5</v>
      </c>
      <c r="K25" s="352" t="str">
        <f t="shared" si="1"/>
        <v>OK</v>
      </c>
      <c r="L25" s="352" t="str">
        <f t="shared" si="2"/>
        <v>OK</v>
      </c>
      <c r="M25" s="353" t="str">
        <f t="shared" si="3"/>
        <v>OK</v>
      </c>
      <c r="N25" s="54">
        <f t="shared" si="4"/>
        <v>3</v>
      </c>
      <c r="O25" s="532" t="str">
        <f>IF(N25="","",IF(OR('Raw FRM data'!S25&lt;3,'Raw FRM data'!S25&gt;200,N25&lt;2),"NOT VALID","ok"))</f>
        <v>ok</v>
      </c>
      <c r="P25" s="388">
        <f t="shared" si="5"/>
        <v>26.7</v>
      </c>
      <c r="Q25" s="51">
        <f t="shared" si="7"/>
        <v>2.5534290669607818</v>
      </c>
      <c r="R25" s="477">
        <f t="shared" si="6"/>
        <v>0.09563404745171468</v>
      </c>
      <c r="S25" s="119"/>
    </row>
    <row r="26" spans="2:19" ht="12.75">
      <c r="B26" s="603"/>
      <c r="C26" s="488">
        <v>16</v>
      </c>
      <c r="D26" s="251">
        <f>IF(ISBLANK('Raw FRM data'!D26),"",'Raw FRM data'!D26)</f>
        <v>39131</v>
      </c>
      <c r="E26" s="105">
        <v>46.4</v>
      </c>
      <c r="F26" s="105">
        <v>46.1</v>
      </c>
      <c r="G26" s="112">
        <v>47.8</v>
      </c>
      <c r="H26" s="507">
        <f t="shared" si="0"/>
        <v>46.4</v>
      </c>
      <c r="I26" s="508">
        <f t="shared" si="0"/>
        <v>46.1</v>
      </c>
      <c r="J26" s="508">
        <f t="shared" si="0"/>
        <v>47.8</v>
      </c>
      <c r="K26" s="352" t="str">
        <f t="shared" si="1"/>
        <v>OK</v>
      </c>
      <c r="L26" s="352" t="str">
        <f t="shared" si="2"/>
        <v>OK</v>
      </c>
      <c r="M26" s="353" t="str">
        <f t="shared" si="3"/>
        <v>OK</v>
      </c>
      <c r="N26" s="54">
        <f t="shared" si="4"/>
        <v>3</v>
      </c>
      <c r="O26" s="532" t="str">
        <f>IF(N26="","",IF(OR('Raw FRM data'!S26&lt;3,'Raw FRM data'!S26&gt;200,N26&lt;2),"NOT VALID","ok"))</f>
        <v>ok</v>
      </c>
      <c r="P26" s="388">
        <f t="shared" si="5"/>
        <v>46.76666666666667</v>
      </c>
      <c r="Q26" s="51">
        <f t="shared" si="7"/>
        <v>0.9073771725874593</v>
      </c>
      <c r="R26" s="477">
        <f t="shared" si="6"/>
        <v>0.01940222036894068</v>
      </c>
      <c r="S26" s="119"/>
    </row>
    <row r="27" spans="2:19" ht="12.75">
      <c r="B27" s="603"/>
      <c r="C27" s="488">
        <v>17</v>
      </c>
      <c r="D27" s="251">
        <f>IF(ISBLANK('Raw FRM data'!D27),"",'Raw FRM data'!D27)</f>
        <v>39132</v>
      </c>
      <c r="E27" s="105">
        <v>45.8</v>
      </c>
      <c r="F27" s="105">
        <v>49.7</v>
      </c>
      <c r="G27" s="112">
        <v>45.5</v>
      </c>
      <c r="H27" s="507">
        <f t="shared" si="0"/>
        <v>45.8</v>
      </c>
      <c r="I27" s="508">
        <f t="shared" si="0"/>
        <v>49.7</v>
      </c>
      <c r="J27" s="508">
        <f t="shared" si="0"/>
        <v>45.5</v>
      </c>
      <c r="K27" s="352" t="str">
        <f t="shared" si="1"/>
        <v>OK</v>
      </c>
      <c r="L27" s="352" t="str">
        <f t="shared" si="2"/>
        <v>OK</v>
      </c>
      <c r="M27" s="353" t="str">
        <f t="shared" si="3"/>
        <v>OK</v>
      </c>
      <c r="N27" s="54">
        <f t="shared" si="4"/>
        <v>3</v>
      </c>
      <c r="O27" s="532" t="str">
        <f>IF(N27="","",IF(OR('Raw FRM data'!S27&lt;3,'Raw FRM data'!S27&gt;200,N27&lt;2),"NOT VALID","ok"))</f>
        <v>ok</v>
      </c>
      <c r="P27" s="388">
        <f t="shared" si="5"/>
        <v>47</v>
      </c>
      <c r="Q27" s="51">
        <f t="shared" si="7"/>
        <v>2.3430749027719497</v>
      </c>
      <c r="R27" s="477">
        <f t="shared" si="6"/>
        <v>0.049852657505786165</v>
      </c>
      <c r="S27" s="119"/>
    </row>
    <row r="28" spans="2:19" ht="12.75">
      <c r="B28" s="603"/>
      <c r="C28" s="488">
        <v>18</v>
      </c>
      <c r="D28" s="251">
        <f>IF(ISBLANK('Raw FRM data'!D28),"",'Raw FRM data'!D28)</f>
        <v>39133</v>
      </c>
      <c r="E28" s="105">
        <v>12.1</v>
      </c>
      <c r="F28" s="105">
        <v>11.2</v>
      </c>
      <c r="G28" s="112">
        <v>11.8</v>
      </c>
      <c r="H28" s="507">
        <f t="shared" si="0"/>
        <v>12.1</v>
      </c>
      <c r="I28" s="508">
        <f t="shared" si="0"/>
        <v>11.2</v>
      </c>
      <c r="J28" s="508">
        <f t="shared" si="0"/>
        <v>11.8</v>
      </c>
      <c r="K28" s="352" t="str">
        <f t="shared" si="1"/>
        <v>OK</v>
      </c>
      <c r="L28" s="352" t="str">
        <f t="shared" si="2"/>
        <v>OK</v>
      </c>
      <c r="M28" s="353" t="str">
        <f t="shared" si="3"/>
        <v>OK</v>
      </c>
      <c r="N28" s="54">
        <f t="shared" si="4"/>
        <v>3</v>
      </c>
      <c r="O28" s="532" t="str">
        <f>IF(N28="","",IF(OR('Raw FRM data'!S28&lt;3,'Raw FRM data'!S28&gt;200,N28&lt;2),"NOT VALID","ok"))</f>
        <v>ok</v>
      </c>
      <c r="P28" s="388">
        <f t="shared" si="5"/>
        <v>11.699999999999998</v>
      </c>
      <c r="Q28" s="51">
        <f t="shared" si="7"/>
        <v>0.4582575694956547</v>
      </c>
      <c r="R28" s="477">
        <f t="shared" si="6"/>
        <v>0.03916731363210725</v>
      </c>
      <c r="S28" s="119"/>
    </row>
    <row r="29" spans="2:19" ht="12.75">
      <c r="B29" s="603"/>
      <c r="C29" s="488">
        <v>19</v>
      </c>
      <c r="D29" s="251">
        <f>IF(ISBLANK('Raw FRM data'!D29),"",'Raw FRM data'!D29)</f>
        <v>39134</v>
      </c>
      <c r="E29" s="105">
        <v>42.6</v>
      </c>
      <c r="F29" s="105">
        <v>38.2</v>
      </c>
      <c r="G29" s="112">
        <v>40.4</v>
      </c>
      <c r="H29" s="507">
        <f t="shared" si="0"/>
        <v>42.6</v>
      </c>
      <c r="I29" s="508">
        <f t="shared" si="0"/>
        <v>38.2</v>
      </c>
      <c r="J29" s="508">
        <f t="shared" si="0"/>
        <v>40.4</v>
      </c>
      <c r="K29" s="352" t="str">
        <f t="shared" si="1"/>
        <v>OK</v>
      </c>
      <c r="L29" s="352" t="str">
        <f t="shared" si="2"/>
        <v>OK</v>
      </c>
      <c r="M29" s="353" t="str">
        <f t="shared" si="3"/>
        <v>OK</v>
      </c>
      <c r="N29" s="54">
        <f t="shared" si="4"/>
        <v>3</v>
      </c>
      <c r="O29" s="532" t="str">
        <f>IF(N29="","",IF(OR('Raw FRM data'!S29&lt;3,'Raw FRM data'!S29&gt;200,N29&lt;2),"NOT VALID","ok"))</f>
        <v>ok</v>
      </c>
      <c r="P29" s="388">
        <f t="shared" si="5"/>
        <v>40.400000000000006</v>
      </c>
      <c r="Q29" s="51">
        <f t="shared" si="7"/>
        <v>2.1999999999998265</v>
      </c>
      <c r="R29" s="477">
        <f t="shared" si="6"/>
        <v>0.05445544554455015</v>
      </c>
      <c r="S29" s="119"/>
    </row>
    <row r="30" spans="2:19" ht="12.75">
      <c r="B30" s="603"/>
      <c r="C30" s="488">
        <v>20</v>
      </c>
      <c r="D30" s="251">
        <f>IF(ISBLANK('Raw FRM data'!D30),"",'Raw FRM data'!D30)</f>
        <v>39135</v>
      </c>
      <c r="E30" s="105">
        <v>6.9</v>
      </c>
      <c r="F30" s="105">
        <v>3.2</v>
      </c>
      <c r="G30" s="112">
        <v>7.3</v>
      </c>
      <c r="H30" s="507">
        <f t="shared" si="0"/>
        <v>6.9</v>
      </c>
      <c r="I30" s="508">
        <f t="shared" si="0"/>
        <v>3.2</v>
      </c>
      <c r="J30" s="508">
        <f t="shared" si="0"/>
        <v>7.3</v>
      </c>
      <c r="K30" s="352" t="str">
        <f t="shared" si="1"/>
        <v>OK</v>
      </c>
      <c r="L30" s="352" t="str">
        <f t="shared" si="2"/>
        <v>OUT</v>
      </c>
      <c r="M30" s="353" t="str">
        <f t="shared" si="3"/>
        <v>OK</v>
      </c>
      <c r="N30" s="54">
        <f t="shared" si="4"/>
        <v>3</v>
      </c>
      <c r="O30" s="532" t="str">
        <f>IF(N30="","",IF(OR('Raw FRM data'!S30&lt;3,'Raw FRM data'!S30&gt;200,N30&lt;2),"NOT VALID","ok"))</f>
        <v>ok</v>
      </c>
      <c r="P30" s="388">
        <f t="shared" si="5"/>
        <v>5.800000000000001</v>
      </c>
      <c r="Q30" s="51">
        <f t="shared" si="7"/>
        <v>2.260530911091463</v>
      </c>
      <c r="R30" s="477">
        <f t="shared" si="6"/>
        <v>0.38974670880887285</v>
      </c>
      <c r="S30" s="119"/>
    </row>
    <row r="31" spans="2:19" ht="12.75">
      <c r="B31" s="603"/>
      <c r="C31" s="488">
        <v>21</v>
      </c>
      <c r="D31" s="251">
        <f>IF(ISBLANK('Raw FRM data'!D31),"",'Raw FRM data'!D31)</f>
        <v>39136</v>
      </c>
      <c r="E31" s="105">
        <v>13.4</v>
      </c>
      <c r="F31" s="105">
        <v>16.7</v>
      </c>
      <c r="G31" s="112">
        <v>16.1</v>
      </c>
      <c r="H31" s="507">
        <f t="shared" si="0"/>
        <v>13.4</v>
      </c>
      <c r="I31" s="508">
        <f t="shared" si="0"/>
        <v>16.7</v>
      </c>
      <c r="J31" s="508">
        <f t="shared" si="0"/>
        <v>16.1</v>
      </c>
      <c r="K31" s="352" t="str">
        <f t="shared" si="1"/>
        <v>OUT</v>
      </c>
      <c r="L31" s="352" t="str">
        <f t="shared" si="2"/>
        <v>OK</v>
      </c>
      <c r="M31" s="353" t="str">
        <f t="shared" si="3"/>
        <v>OK</v>
      </c>
      <c r="N31" s="54">
        <f t="shared" si="4"/>
        <v>3</v>
      </c>
      <c r="O31" s="532" t="str">
        <f>IF(N31="","",IF(OR('Raw FRM data'!S31&lt;3,'Raw FRM data'!S31&gt;200,N31&lt;2),"NOT VALID","ok"))</f>
        <v>ok</v>
      </c>
      <c r="P31" s="388">
        <f t="shared" si="5"/>
        <v>15.4</v>
      </c>
      <c r="Q31" s="51">
        <f t="shared" si="7"/>
        <v>1.7578395831247036</v>
      </c>
      <c r="R31" s="477">
        <f t="shared" si="6"/>
        <v>0.1141454274756301</v>
      </c>
      <c r="S31" s="119"/>
    </row>
    <row r="32" spans="2:19" ht="12.75">
      <c r="B32" s="603"/>
      <c r="C32" s="488">
        <v>22</v>
      </c>
      <c r="D32" s="251">
        <f>IF(ISBLANK('Raw FRM data'!D32),"",'Raw FRM data'!D32)</f>
        <v>39137</v>
      </c>
      <c r="E32" s="105">
        <v>29.8</v>
      </c>
      <c r="F32" s="105">
        <v>30.6</v>
      </c>
      <c r="G32" s="112">
        <v>31.3</v>
      </c>
      <c r="H32" s="507">
        <f t="shared" si="0"/>
        <v>29.8</v>
      </c>
      <c r="I32" s="508">
        <f t="shared" si="0"/>
        <v>30.6</v>
      </c>
      <c r="J32" s="508">
        <f t="shared" si="0"/>
        <v>31.3</v>
      </c>
      <c r="K32" s="352" t="str">
        <f t="shared" si="1"/>
        <v>OK</v>
      </c>
      <c r="L32" s="352" t="str">
        <f t="shared" si="2"/>
        <v>OK</v>
      </c>
      <c r="M32" s="353" t="str">
        <f t="shared" si="3"/>
        <v>OK</v>
      </c>
      <c r="N32" s="54">
        <f t="shared" si="4"/>
        <v>3</v>
      </c>
      <c r="O32" s="532" t="str">
        <f>IF(N32="","",IF(OR('Raw FRM data'!S32&lt;3,'Raw FRM data'!S32&gt;200,N32&lt;2),"NOT VALID","ok"))</f>
        <v>ok</v>
      </c>
      <c r="P32" s="388">
        <f t="shared" si="5"/>
        <v>30.566666666666666</v>
      </c>
      <c r="Q32" s="51">
        <f t="shared" si="7"/>
        <v>0.7505553499464751</v>
      </c>
      <c r="R32" s="477">
        <f t="shared" si="6"/>
        <v>0.024554700652556438</v>
      </c>
      <c r="S32" s="119"/>
    </row>
    <row r="33" spans="2:19" ht="13.5" thickBot="1">
      <c r="B33" s="604"/>
      <c r="C33" s="489">
        <v>23</v>
      </c>
      <c r="D33" s="252">
        <f>IF(ISBLANK('Raw FRM data'!D33),"",'Raw FRM data'!D33)</f>
        <v>39138</v>
      </c>
      <c r="E33" s="107">
        <v>16.3</v>
      </c>
      <c r="F33" s="107">
        <v>14.3</v>
      </c>
      <c r="G33" s="113">
        <v>11.6</v>
      </c>
      <c r="H33" s="511">
        <f t="shared" si="0"/>
        <v>16.3</v>
      </c>
      <c r="I33" s="512">
        <f t="shared" si="0"/>
        <v>14.3</v>
      </c>
      <c r="J33" s="512">
        <f t="shared" si="0"/>
        <v>11.6</v>
      </c>
      <c r="K33" s="348" t="str">
        <f t="shared" si="1"/>
        <v>OK</v>
      </c>
      <c r="L33" s="348" t="str">
        <f t="shared" si="2"/>
        <v>OK</v>
      </c>
      <c r="M33" s="349" t="str">
        <f t="shared" si="3"/>
        <v>OUT</v>
      </c>
      <c r="N33" s="55">
        <f t="shared" si="4"/>
        <v>3</v>
      </c>
      <c r="O33" s="533" t="str">
        <f>IF(N33="","",IF(OR('Raw FRM data'!S33&lt;3,'Raw FRM data'!S33&gt;200,N33&lt;2),"NOT VALID","ok"))</f>
        <v>ok</v>
      </c>
      <c r="P33" s="398">
        <f t="shared" si="5"/>
        <v>14.066666666666668</v>
      </c>
      <c r="Q33" s="52">
        <f t="shared" si="7"/>
        <v>2.358671942711265</v>
      </c>
      <c r="R33" s="482">
        <f t="shared" si="6"/>
        <v>0.16767810019274393</v>
      </c>
      <c r="S33" s="124"/>
    </row>
    <row r="34" spans="2:19" ht="12.75">
      <c r="B34" s="602" t="s">
        <v>47</v>
      </c>
      <c r="C34" s="72">
        <v>24</v>
      </c>
      <c r="D34" s="249">
        <f>IF(ISBLANK('Raw FRM data'!D34),"",'Raw FRM data'!D34)</f>
        <v>39139</v>
      </c>
      <c r="E34" s="102">
        <v>25.1</v>
      </c>
      <c r="F34" s="102">
        <v>29.1</v>
      </c>
      <c r="G34" s="111">
        <v>27.1</v>
      </c>
      <c r="H34" s="505">
        <f t="shared" si="0"/>
        <v>25.1</v>
      </c>
      <c r="I34" s="506">
        <f t="shared" si="0"/>
        <v>29.1</v>
      </c>
      <c r="J34" s="506">
        <f t="shared" si="0"/>
        <v>27.1</v>
      </c>
      <c r="K34" s="350" t="str">
        <f t="shared" si="1"/>
        <v>OK</v>
      </c>
      <c r="L34" s="350" t="str">
        <f t="shared" si="2"/>
        <v>OK</v>
      </c>
      <c r="M34" s="351" t="str">
        <f t="shared" si="3"/>
        <v>OK</v>
      </c>
      <c r="N34" s="123">
        <f t="shared" si="4"/>
        <v>3</v>
      </c>
      <c r="O34" s="534" t="str">
        <f>IF(N34="","",IF(OR('Raw FRM data'!S34&lt;3,'Raw FRM data'!S34&gt;200,N34&lt;2),"NOT VALID","ok"))</f>
        <v>ok</v>
      </c>
      <c r="P34" s="397">
        <f t="shared" si="5"/>
        <v>27.100000000000005</v>
      </c>
      <c r="Q34" s="94">
        <f t="shared" si="7"/>
        <v>2</v>
      </c>
      <c r="R34" s="481">
        <f t="shared" si="6"/>
        <v>0.07380073800738006</v>
      </c>
      <c r="S34" s="118"/>
    </row>
    <row r="35" spans="2:19" ht="12.75">
      <c r="B35" s="605"/>
      <c r="C35" s="488">
        <v>25</v>
      </c>
      <c r="D35" s="251">
        <f>IF(ISBLANK('Raw FRM data'!D35),"",'Raw FRM data'!D35)</f>
        <v>39140</v>
      </c>
      <c r="E35" s="105">
        <v>48</v>
      </c>
      <c r="F35" s="105">
        <v>47</v>
      </c>
      <c r="G35" s="112">
        <v>51.5</v>
      </c>
      <c r="H35" s="507">
        <f t="shared" si="0"/>
        <v>48</v>
      </c>
      <c r="I35" s="508">
        <f t="shared" si="0"/>
        <v>47</v>
      </c>
      <c r="J35" s="508">
        <f t="shared" si="0"/>
        <v>51.5</v>
      </c>
      <c r="K35" s="352" t="str">
        <f t="shared" si="1"/>
        <v>OK</v>
      </c>
      <c r="L35" s="352" t="str">
        <f t="shared" si="2"/>
        <v>OK</v>
      </c>
      <c r="M35" s="353" t="str">
        <f t="shared" si="3"/>
        <v>OK</v>
      </c>
      <c r="N35" s="54">
        <f t="shared" si="4"/>
        <v>3</v>
      </c>
      <c r="O35" s="532" t="str">
        <f>IF(N35="","",IF(OR('Raw FRM data'!S35&lt;3,'Raw FRM data'!S35&gt;200,N35&lt;2),"NOT VALID","ok"))</f>
        <v>ok</v>
      </c>
      <c r="P35" s="388">
        <f t="shared" si="5"/>
        <v>48.833333333333336</v>
      </c>
      <c r="Q35" s="51">
        <f t="shared" si="7"/>
        <v>2.3629078131263364</v>
      </c>
      <c r="R35" s="477">
        <f t="shared" si="6"/>
        <v>0.0483871907124847</v>
      </c>
      <c r="S35" s="119"/>
    </row>
    <row r="36" spans="2:19" ht="12.75">
      <c r="B36" s="605"/>
      <c r="C36" s="488">
        <v>26</v>
      </c>
      <c r="D36" s="251">
        <f>IF(ISBLANK('Raw FRM data'!D36),"",'Raw FRM data'!D36)</f>
        <v>39141</v>
      </c>
      <c r="E36" s="105">
        <v>46.3</v>
      </c>
      <c r="F36" s="105">
        <v>48.8</v>
      </c>
      <c r="G36" s="112">
        <v>47.4</v>
      </c>
      <c r="H36" s="507">
        <f t="shared" si="0"/>
        <v>46.3</v>
      </c>
      <c r="I36" s="508">
        <f t="shared" si="0"/>
        <v>48.8</v>
      </c>
      <c r="J36" s="508">
        <f t="shared" si="0"/>
        <v>47.4</v>
      </c>
      <c r="K36" s="352" t="str">
        <f t="shared" si="1"/>
        <v>OK</v>
      </c>
      <c r="L36" s="352" t="str">
        <f t="shared" si="2"/>
        <v>OK</v>
      </c>
      <c r="M36" s="353" t="str">
        <f t="shared" si="3"/>
        <v>OK</v>
      </c>
      <c r="N36" s="54">
        <f t="shared" si="4"/>
        <v>3</v>
      </c>
      <c r="O36" s="532" t="str">
        <f>IF(N36="","",IF(OR('Raw FRM data'!S36&lt;3,'Raw FRM data'!S36&gt;200,N36&lt;2),"NOT VALID","ok"))</f>
        <v>ok</v>
      </c>
      <c r="P36" s="388">
        <f t="shared" si="5"/>
        <v>47.5</v>
      </c>
      <c r="Q36" s="51">
        <f t="shared" si="7"/>
        <v>1.2529964086140506</v>
      </c>
      <c r="R36" s="477">
        <f t="shared" si="6"/>
        <v>0.026378871760295804</v>
      </c>
      <c r="S36" s="119"/>
    </row>
    <row r="37" spans="2:19" ht="12.75">
      <c r="B37" s="605"/>
      <c r="C37" s="488">
        <v>27</v>
      </c>
      <c r="D37" s="251">
        <f>IF(ISBLANK('Raw FRM data'!D37),"",'Raw FRM data'!D37)</f>
        <v>39142</v>
      </c>
      <c r="E37" s="105">
        <v>20.3</v>
      </c>
      <c r="F37" s="105">
        <v>21.8</v>
      </c>
      <c r="G37" s="112">
        <v>23.2</v>
      </c>
      <c r="H37" s="507">
        <f t="shared" si="0"/>
        <v>20.3</v>
      </c>
      <c r="I37" s="508">
        <f t="shared" si="0"/>
        <v>21.8</v>
      </c>
      <c r="J37" s="508">
        <f t="shared" si="0"/>
        <v>23.2</v>
      </c>
      <c r="K37" s="352" t="str">
        <f t="shared" si="1"/>
        <v>OK</v>
      </c>
      <c r="L37" s="352" t="str">
        <f t="shared" si="2"/>
        <v>OK</v>
      </c>
      <c r="M37" s="353" t="str">
        <f t="shared" si="3"/>
        <v>OK</v>
      </c>
      <c r="N37" s="54">
        <f t="shared" si="4"/>
        <v>3</v>
      </c>
      <c r="O37" s="532" t="str">
        <f>IF(N37="","",IF(OR('Raw FRM data'!S37&lt;3,'Raw FRM data'!S37&gt;200,N37&lt;2),"NOT VALID","ok"))</f>
        <v>ok</v>
      </c>
      <c r="P37" s="388">
        <f t="shared" si="5"/>
        <v>21.766666666666666</v>
      </c>
      <c r="Q37" s="51">
        <f t="shared" si="7"/>
        <v>1.4502873278538913</v>
      </c>
      <c r="R37" s="477">
        <f t="shared" si="6"/>
        <v>0.06662882057521706</v>
      </c>
      <c r="S37" s="119"/>
    </row>
    <row r="38" spans="2:19" ht="12.75">
      <c r="B38" s="605"/>
      <c r="C38" s="488">
        <v>28</v>
      </c>
      <c r="D38" s="251">
        <f>IF(ISBLANK('Raw FRM data'!D38),"",'Raw FRM data'!D38)</f>
      </c>
      <c r="E38" s="105"/>
      <c r="F38" s="105"/>
      <c r="G38" s="112"/>
      <c r="H38" s="507">
        <f t="shared" si="0"/>
        <v>0</v>
      </c>
      <c r="I38" s="508">
        <f t="shared" si="0"/>
        <v>0</v>
      </c>
      <c r="J38" s="508">
        <f t="shared" si="0"/>
        <v>0</v>
      </c>
      <c r="K38" s="352">
        <f t="shared" si="1"/>
      </c>
      <c r="L38" s="352">
        <f t="shared" si="2"/>
      </c>
      <c r="M38" s="353">
        <f t="shared" si="3"/>
      </c>
      <c r="N38" s="54">
        <f t="shared" si="4"/>
      </c>
      <c r="O38" s="532">
        <f>IF(N38="","",IF(OR('Raw FRM data'!S38&lt;3,'Raw FRM data'!S38&gt;200,N38&lt;2),"NOT VALID","ok"))</f>
      </c>
      <c r="P38" s="388">
        <f t="shared" si="5"/>
      </c>
      <c r="Q38" s="51">
        <f t="shared" si="7"/>
      </c>
      <c r="R38" s="477">
        <f t="shared" si="6"/>
      </c>
      <c r="S38" s="119"/>
    </row>
    <row r="39" spans="2:19" ht="12.75">
      <c r="B39" s="605"/>
      <c r="C39" s="488">
        <v>29</v>
      </c>
      <c r="D39" s="251">
        <f>IF(ISBLANK('Raw FRM data'!D39),"",'Raw FRM data'!D39)</f>
      </c>
      <c r="E39" s="105"/>
      <c r="F39" s="105"/>
      <c r="G39" s="112"/>
      <c r="H39" s="507">
        <f t="shared" si="0"/>
        <v>0</v>
      </c>
      <c r="I39" s="508">
        <f t="shared" si="0"/>
        <v>0</v>
      </c>
      <c r="J39" s="508">
        <f t="shared" si="0"/>
        <v>0</v>
      </c>
      <c r="K39" s="352">
        <f t="shared" si="1"/>
      </c>
      <c r="L39" s="352">
        <f t="shared" si="2"/>
      </c>
      <c r="M39" s="353">
        <f t="shared" si="3"/>
      </c>
      <c r="N39" s="54">
        <f t="shared" si="4"/>
      </c>
      <c r="O39" s="532">
        <f>IF(N39="","",IF(OR('Raw FRM data'!S39&lt;3,'Raw FRM data'!S39&gt;200,N39&lt;2),"NOT VALID","ok"))</f>
      </c>
      <c r="P39" s="388">
        <f t="shared" si="5"/>
      </c>
      <c r="Q39" s="51">
        <f t="shared" si="7"/>
      </c>
      <c r="R39" s="477">
        <f t="shared" si="6"/>
      </c>
      <c r="S39" s="119"/>
    </row>
    <row r="40" spans="2:19" ht="12.75">
      <c r="B40" s="605"/>
      <c r="C40" s="488">
        <v>30</v>
      </c>
      <c r="D40" s="251">
        <f>IF(ISBLANK('Raw FRM data'!D40),"",'Raw FRM data'!D40)</f>
      </c>
      <c r="E40" s="105"/>
      <c r="F40" s="105"/>
      <c r="G40" s="112"/>
      <c r="H40" s="507">
        <f t="shared" si="0"/>
        <v>0</v>
      </c>
      <c r="I40" s="508">
        <f t="shared" si="0"/>
        <v>0</v>
      </c>
      <c r="J40" s="508">
        <f t="shared" si="0"/>
        <v>0</v>
      </c>
      <c r="K40" s="352">
        <f t="shared" si="1"/>
      </c>
      <c r="L40" s="352">
        <f t="shared" si="2"/>
      </c>
      <c r="M40" s="353">
        <f t="shared" si="3"/>
      </c>
      <c r="N40" s="54">
        <f t="shared" si="4"/>
      </c>
      <c r="O40" s="532">
        <f>IF(N40="","",IF(OR('Raw FRM data'!S40&lt;3,'Raw FRM data'!S40&gt;200,N40&lt;2),"NOT VALID","ok"))</f>
      </c>
      <c r="P40" s="388">
        <f t="shared" si="5"/>
      </c>
      <c r="Q40" s="51">
        <f t="shared" si="7"/>
      </c>
      <c r="R40" s="477">
        <f t="shared" si="6"/>
      </c>
      <c r="S40" s="119"/>
    </row>
    <row r="41" spans="2:19" ht="12.75">
      <c r="B41" s="605"/>
      <c r="C41" s="488">
        <v>31</v>
      </c>
      <c r="D41" s="251">
        <f>IF(ISBLANK('Raw FRM data'!D41),"",'Raw FRM data'!D41)</f>
      </c>
      <c r="E41" s="109"/>
      <c r="F41" s="109"/>
      <c r="G41" s="112"/>
      <c r="H41" s="507">
        <f t="shared" si="0"/>
        <v>0</v>
      </c>
      <c r="I41" s="508">
        <f t="shared" si="0"/>
        <v>0</v>
      </c>
      <c r="J41" s="508">
        <f t="shared" si="0"/>
        <v>0</v>
      </c>
      <c r="K41" s="352">
        <f t="shared" si="1"/>
      </c>
      <c r="L41" s="352">
        <f t="shared" si="2"/>
      </c>
      <c r="M41" s="353">
        <f t="shared" si="3"/>
      </c>
      <c r="N41" s="54">
        <f t="shared" si="4"/>
      </c>
      <c r="O41" s="532">
        <f>IF(N41="","",IF(OR('Raw FRM data'!S41&lt;3,'Raw FRM data'!S41&gt;200,N41&lt;2),"NOT VALID","ok"))</f>
      </c>
      <c r="P41" s="388">
        <f t="shared" si="5"/>
      </c>
      <c r="Q41" s="51">
        <f t="shared" si="7"/>
      </c>
      <c r="R41" s="477">
        <f t="shared" si="6"/>
      </c>
      <c r="S41" s="119"/>
    </row>
    <row r="42" spans="2:19" ht="12.75">
      <c r="B42" s="605"/>
      <c r="C42" s="488">
        <v>32</v>
      </c>
      <c r="D42" s="251">
        <f>IF(ISBLANK('Raw FRM data'!D42),"",'Raw FRM data'!D42)</f>
      </c>
      <c r="E42" s="105"/>
      <c r="F42" s="105"/>
      <c r="G42" s="112"/>
      <c r="H42" s="507">
        <f t="shared" si="0"/>
        <v>0</v>
      </c>
      <c r="I42" s="508">
        <f t="shared" si="0"/>
        <v>0</v>
      </c>
      <c r="J42" s="508">
        <f t="shared" si="0"/>
        <v>0</v>
      </c>
      <c r="K42" s="352">
        <f t="shared" si="1"/>
      </c>
      <c r="L42" s="352">
        <f t="shared" si="2"/>
      </c>
      <c r="M42" s="353">
        <f t="shared" si="3"/>
      </c>
      <c r="N42" s="54">
        <f t="shared" si="4"/>
      </c>
      <c r="O42" s="532">
        <f>IF(N42="","",IF(OR('Raw FRM data'!S42&lt;3,'Raw FRM data'!S42&gt;200,N42&lt;2),"NOT VALID","ok"))</f>
      </c>
      <c r="P42" s="388">
        <f t="shared" si="5"/>
      </c>
      <c r="Q42" s="51">
        <f t="shared" si="7"/>
      </c>
      <c r="R42" s="477">
        <f t="shared" si="6"/>
      </c>
      <c r="S42" s="119"/>
    </row>
    <row r="43" spans="2:19" ht="12.75">
      <c r="B43" s="605"/>
      <c r="C43" s="488">
        <v>33</v>
      </c>
      <c r="D43" s="251">
        <f>IF(ISBLANK('Raw FRM data'!D43),"",'Raw FRM data'!D43)</f>
      </c>
      <c r="E43" s="105"/>
      <c r="F43" s="105"/>
      <c r="G43" s="112"/>
      <c r="H43" s="507">
        <f t="shared" si="0"/>
        <v>0</v>
      </c>
      <c r="I43" s="508">
        <f t="shared" si="0"/>
        <v>0</v>
      </c>
      <c r="J43" s="508">
        <f t="shared" si="0"/>
        <v>0</v>
      </c>
      <c r="K43" s="352">
        <f t="shared" si="1"/>
      </c>
      <c r="L43" s="352">
        <f t="shared" si="2"/>
      </c>
      <c r="M43" s="353">
        <f t="shared" si="3"/>
      </c>
      <c r="N43" s="54">
        <f t="shared" si="4"/>
      </c>
      <c r="O43" s="532">
        <f>IF(N43="","",IF(OR('Raw FRM data'!S43&lt;3,'Raw FRM data'!S43&gt;200,N43&lt;2),"NOT VALID","ok"))</f>
      </c>
      <c r="P43" s="388">
        <f t="shared" si="5"/>
      </c>
      <c r="Q43" s="51">
        <f t="shared" si="7"/>
      </c>
      <c r="R43" s="477">
        <f t="shared" si="6"/>
      </c>
      <c r="S43" s="119"/>
    </row>
    <row r="44" spans="2:19" ht="12.75">
      <c r="B44" s="605"/>
      <c r="C44" s="488">
        <v>34</v>
      </c>
      <c r="D44" s="251">
        <f>IF(ISBLANK('Raw FRM data'!D44),"",'Raw FRM data'!D44)</f>
      </c>
      <c r="E44" s="105"/>
      <c r="F44" s="105"/>
      <c r="G44" s="112"/>
      <c r="H44" s="507">
        <f t="shared" si="0"/>
        <v>0</v>
      </c>
      <c r="I44" s="508">
        <f t="shared" si="0"/>
        <v>0</v>
      </c>
      <c r="J44" s="508">
        <f t="shared" si="0"/>
        <v>0</v>
      </c>
      <c r="K44" s="352">
        <f t="shared" si="1"/>
      </c>
      <c r="L44" s="352">
        <f t="shared" si="2"/>
      </c>
      <c r="M44" s="353">
        <f t="shared" si="3"/>
      </c>
      <c r="N44" s="54">
        <f t="shared" si="4"/>
      </c>
      <c r="O44" s="532">
        <f>IF(N44="","",IF(OR('Raw FRM data'!S44&lt;3,'Raw FRM data'!S44&gt;200,N44&lt;2),"NOT VALID","ok"))</f>
      </c>
      <c r="P44" s="388">
        <f t="shared" si="5"/>
      </c>
      <c r="Q44" s="51">
        <f t="shared" si="7"/>
      </c>
      <c r="R44" s="477">
        <f t="shared" si="6"/>
      </c>
      <c r="S44" s="119"/>
    </row>
    <row r="45" spans="2:19" ht="12.75">
      <c r="B45" s="605"/>
      <c r="C45" s="488">
        <v>35</v>
      </c>
      <c r="D45" s="251">
        <f>IF(ISBLANK('Raw FRM data'!D45),"",'Raw FRM data'!D45)</f>
      </c>
      <c r="E45" s="105"/>
      <c r="F45" s="105"/>
      <c r="G45" s="112"/>
      <c r="H45" s="507">
        <f t="shared" si="0"/>
        <v>0</v>
      </c>
      <c r="I45" s="508">
        <f t="shared" si="0"/>
        <v>0</v>
      </c>
      <c r="J45" s="508">
        <f t="shared" si="0"/>
        <v>0</v>
      </c>
      <c r="K45" s="352">
        <f t="shared" si="1"/>
      </c>
      <c r="L45" s="352">
        <f t="shared" si="2"/>
      </c>
      <c r="M45" s="353">
        <f t="shared" si="3"/>
      </c>
      <c r="N45" s="54">
        <f t="shared" si="4"/>
      </c>
      <c r="O45" s="532">
        <f>IF(N45="","",IF(OR('Raw FRM data'!S45&lt;3,'Raw FRM data'!S45&gt;200,N45&lt;2),"NOT VALID","ok"))</f>
      </c>
      <c r="P45" s="388">
        <f t="shared" si="5"/>
      </c>
      <c r="Q45" s="51">
        <f t="shared" si="7"/>
      </c>
      <c r="R45" s="477">
        <f t="shared" si="6"/>
      </c>
      <c r="S45" s="119"/>
    </row>
    <row r="46" spans="2:19" ht="12.75">
      <c r="B46" s="605"/>
      <c r="C46" s="488">
        <v>36</v>
      </c>
      <c r="D46" s="251">
        <f>IF(ISBLANK('Raw FRM data'!D46),"",'Raw FRM data'!D46)</f>
      </c>
      <c r="E46" s="105"/>
      <c r="F46" s="105"/>
      <c r="G46" s="112"/>
      <c r="H46" s="507">
        <f t="shared" si="0"/>
        <v>0</v>
      </c>
      <c r="I46" s="508">
        <f t="shared" si="0"/>
        <v>0</v>
      </c>
      <c r="J46" s="508">
        <f t="shared" si="0"/>
        <v>0</v>
      </c>
      <c r="K46" s="352">
        <f t="shared" si="1"/>
      </c>
      <c r="L46" s="352">
        <f t="shared" si="2"/>
      </c>
      <c r="M46" s="353">
        <f t="shared" si="3"/>
      </c>
      <c r="N46" s="54">
        <f t="shared" si="4"/>
      </c>
      <c r="O46" s="532">
        <f>IF(N46="","",IF(OR('Raw FRM data'!S46&lt;3,'Raw FRM data'!S46&gt;200,N46&lt;2),"NOT VALID","ok"))</f>
      </c>
      <c r="P46" s="388">
        <f t="shared" si="5"/>
      </c>
      <c r="Q46" s="51">
        <f t="shared" si="7"/>
      </c>
      <c r="R46" s="477">
        <f t="shared" si="6"/>
      </c>
      <c r="S46" s="119"/>
    </row>
    <row r="47" spans="2:19" ht="12.75">
      <c r="B47" s="605"/>
      <c r="C47" s="488">
        <v>37</v>
      </c>
      <c r="D47" s="251">
        <f>IF(ISBLANK('Raw FRM data'!D47),"",'Raw FRM data'!D47)</f>
      </c>
      <c r="E47" s="105"/>
      <c r="F47" s="105"/>
      <c r="G47" s="112"/>
      <c r="H47" s="507">
        <f t="shared" si="0"/>
        <v>0</v>
      </c>
      <c r="I47" s="508">
        <f t="shared" si="0"/>
        <v>0</v>
      </c>
      <c r="J47" s="508">
        <f t="shared" si="0"/>
        <v>0</v>
      </c>
      <c r="K47" s="352">
        <f t="shared" si="1"/>
      </c>
      <c r="L47" s="352">
        <f t="shared" si="2"/>
      </c>
      <c r="M47" s="353">
        <f t="shared" si="3"/>
      </c>
      <c r="N47" s="54">
        <f t="shared" si="4"/>
      </c>
      <c r="O47" s="532">
        <f>IF(N47="","",IF(OR('Raw FRM data'!S47&lt;3,'Raw FRM data'!S47&gt;200,N47&lt;2),"NOT VALID","ok"))</f>
      </c>
      <c r="P47" s="388">
        <f t="shared" si="5"/>
      </c>
      <c r="Q47" s="51">
        <f t="shared" si="7"/>
      </c>
      <c r="R47" s="477">
        <f t="shared" si="6"/>
      </c>
      <c r="S47" s="119"/>
    </row>
    <row r="48" spans="2:19" ht="12.75">
      <c r="B48" s="605"/>
      <c r="C48" s="488">
        <v>38</v>
      </c>
      <c r="D48" s="251">
        <f>IF(ISBLANK('Raw FRM data'!D48),"",'Raw FRM data'!D48)</f>
      </c>
      <c r="E48" s="105"/>
      <c r="F48" s="105"/>
      <c r="G48" s="112"/>
      <c r="H48" s="507">
        <f t="shared" si="0"/>
        <v>0</v>
      </c>
      <c r="I48" s="508">
        <f t="shared" si="0"/>
        <v>0</v>
      </c>
      <c r="J48" s="508">
        <f t="shared" si="0"/>
        <v>0</v>
      </c>
      <c r="K48" s="352">
        <f t="shared" si="1"/>
      </c>
      <c r="L48" s="352">
        <f t="shared" si="2"/>
      </c>
      <c r="M48" s="353">
        <f t="shared" si="3"/>
      </c>
      <c r="N48" s="54">
        <f t="shared" si="4"/>
      </c>
      <c r="O48" s="532">
        <f>IF(N48="","",IF(OR('Raw FRM data'!S48&lt;3,'Raw FRM data'!S48&gt;200,N48&lt;2),"NOT VALID","ok"))</f>
      </c>
      <c r="P48" s="388">
        <f t="shared" si="5"/>
      </c>
      <c r="Q48" s="51">
        <f t="shared" si="7"/>
      </c>
      <c r="R48" s="477">
        <f t="shared" si="6"/>
      </c>
      <c r="S48" s="119"/>
    </row>
    <row r="49" spans="2:19" ht="12.75">
      <c r="B49" s="605"/>
      <c r="C49" s="488">
        <v>39</v>
      </c>
      <c r="D49" s="251">
        <f>IF(ISBLANK('Raw FRM data'!D49),"",'Raw FRM data'!D49)</f>
      </c>
      <c r="E49" s="105"/>
      <c r="F49" s="105"/>
      <c r="G49" s="112"/>
      <c r="H49" s="507">
        <f t="shared" si="0"/>
        <v>0</v>
      </c>
      <c r="I49" s="508">
        <f t="shared" si="0"/>
        <v>0</v>
      </c>
      <c r="J49" s="508">
        <f t="shared" si="0"/>
        <v>0</v>
      </c>
      <c r="K49" s="352">
        <f t="shared" si="1"/>
      </c>
      <c r="L49" s="352">
        <f t="shared" si="2"/>
      </c>
      <c r="M49" s="353">
        <f t="shared" si="3"/>
      </c>
      <c r="N49" s="54">
        <f t="shared" si="4"/>
      </c>
      <c r="O49" s="532">
        <f>IF(N49="","",IF(OR('Raw FRM data'!S49&lt;3,'Raw FRM data'!S49&gt;200,N49&lt;2),"NOT VALID","ok"))</f>
      </c>
      <c r="P49" s="388">
        <f t="shared" si="5"/>
      </c>
      <c r="Q49" s="51">
        <f t="shared" si="7"/>
      </c>
      <c r="R49" s="477">
        <f t="shared" si="6"/>
      </c>
      <c r="S49" s="119"/>
    </row>
    <row r="50" spans="2:19" ht="12.75">
      <c r="B50" s="605"/>
      <c r="C50" s="488">
        <v>40</v>
      </c>
      <c r="D50" s="251">
        <f>IF(ISBLANK('Raw FRM data'!D50),"",'Raw FRM data'!D50)</f>
      </c>
      <c r="E50" s="105"/>
      <c r="F50" s="105"/>
      <c r="G50" s="112"/>
      <c r="H50" s="507">
        <f t="shared" si="0"/>
        <v>0</v>
      </c>
      <c r="I50" s="508">
        <f t="shared" si="0"/>
        <v>0</v>
      </c>
      <c r="J50" s="508">
        <f t="shared" si="0"/>
        <v>0</v>
      </c>
      <c r="K50" s="352">
        <f t="shared" si="1"/>
      </c>
      <c r="L50" s="352">
        <f t="shared" si="2"/>
      </c>
      <c r="M50" s="353">
        <f t="shared" si="3"/>
      </c>
      <c r="N50" s="54">
        <f t="shared" si="4"/>
      </c>
      <c r="O50" s="532">
        <f>IF(N50="","",IF(OR('Raw FRM data'!S50&lt;3,'Raw FRM data'!S50&gt;200,N50&lt;2),"NOT VALID","ok"))</f>
      </c>
      <c r="P50" s="388">
        <f t="shared" si="5"/>
      </c>
      <c r="Q50" s="51">
        <f t="shared" si="7"/>
      </c>
      <c r="R50" s="477">
        <f t="shared" si="6"/>
      </c>
      <c r="S50" s="119"/>
    </row>
    <row r="51" spans="2:19" ht="12.75">
      <c r="B51" s="605"/>
      <c r="C51" s="488">
        <v>41</v>
      </c>
      <c r="D51" s="251">
        <f>IF(ISBLANK('Raw FRM data'!D51),"",'Raw FRM data'!D51)</f>
      </c>
      <c r="E51" s="105"/>
      <c r="F51" s="105"/>
      <c r="G51" s="112"/>
      <c r="H51" s="507">
        <f t="shared" si="0"/>
        <v>0</v>
      </c>
      <c r="I51" s="508">
        <f t="shared" si="0"/>
        <v>0</v>
      </c>
      <c r="J51" s="508">
        <f t="shared" si="0"/>
        <v>0</v>
      </c>
      <c r="K51" s="352">
        <f t="shared" si="1"/>
      </c>
      <c r="L51" s="352">
        <f t="shared" si="2"/>
      </c>
      <c r="M51" s="353">
        <f t="shared" si="3"/>
      </c>
      <c r="N51" s="54">
        <f t="shared" si="4"/>
      </c>
      <c r="O51" s="532">
        <f>IF(N51="","",IF(OR('Raw FRM data'!S51&lt;3,'Raw FRM data'!S51&gt;200,N51&lt;2),"NOT VALID","ok"))</f>
      </c>
      <c r="P51" s="388">
        <f t="shared" si="5"/>
      </c>
      <c r="Q51" s="51">
        <f t="shared" si="7"/>
      </c>
      <c r="R51" s="477">
        <f t="shared" si="6"/>
      </c>
      <c r="S51" s="119"/>
    </row>
    <row r="52" spans="2:19" ht="12.75">
      <c r="B52" s="605"/>
      <c r="C52" s="488">
        <v>42</v>
      </c>
      <c r="D52" s="251">
        <f>IF(ISBLANK('Raw FRM data'!D52),"",'Raw FRM data'!D52)</f>
      </c>
      <c r="E52" s="105"/>
      <c r="F52" s="105"/>
      <c r="G52" s="112"/>
      <c r="H52" s="507">
        <f t="shared" si="0"/>
        <v>0</v>
      </c>
      <c r="I52" s="508">
        <f t="shared" si="0"/>
        <v>0</v>
      </c>
      <c r="J52" s="508">
        <f t="shared" si="0"/>
        <v>0</v>
      </c>
      <c r="K52" s="352">
        <f t="shared" si="1"/>
      </c>
      <c r="L52" s="352">
        <f t="shared" si="2"/>
      </c>
      <c r="M52" s="353">
        <f t="shared" si="3"/>
      </c>
      <c r="N52" s="54">
        <f t="shared" si="4"/>
      </c>
      <c r="O52" s="532">
        <f>IF(N52="","",IF(OR('Raw FRM data'!S52&lt;3,'Raw FRM data'!S52&gt;200,N52&lt;2),"NOT VALID","ok"))</f>
      </c>
      <c r="P52" s="388">
        <f t="shared" si="5"/>
      </c>
      <c r="Q52" s="51">
        <f t="shared" si="7"/>
      </c>
      <c r="R52" s="477">
        <f t="shared" si="6"/>
      </c>
      <c r="S52" s="119"/>
    </row>
    <row r="53" spans="2:19" ht="12.75">
      <c r="B53" s="605"/>
      <c r="C53" s="488">
        <v>43</v>
      </c>
      <c r="D53" s="251">
        <f>IF(ISBLANK('Raw FRM data'!D53),"",'Raw FRM data'!D53)</f>
      </c>
      <c r="E53" s="105"/>
      <c r="F53" s="105"/>
      <c r="G53" s="112"/>
      <c r="H53" s="507">
        <f t="shared" si="0"/>
        <v>0</v>
      </c>
      <c r="I53" s="508">
        <f t="shared" si="0"/>
        <v>0</v>
      </c>
      <c r="J53" s="508">
        <f t="shared" si="0"/>
        <v>0</v>
      </c>
      <c r="K53" s="352">
        <f t="shared" si="1"/>
      </c>
      <c r="L53" s="352">
        <f t="shared" si="2"/>
      </c>
      <c r="M53" s="353">
        <f t="shared" si="3"/>
      </c>
      <c r="N53" s="54">
        <f t="shared" si="4"/>
      </c>
      <c r="O53" s="532">
        <f>IF(N53="","",IF(OR('Raw FRM data'!S53&lt;3,'Raw FRM data'!S53&gt;200,N53&lt;2),"NOT VALID","ok"))</f>
      </c>
      <c r="P53" s="388">
        <f t="shared" si="5"/>
      </c>
      <c r="Q53" s="51">
        <f t="shared" si="7"/>
      </c>
      <c r="R53" s="477">
        <f t="shared" si="6"/>
      </c>
      <c r="S53" s="119"/>
    </row>
    <row r="54" spans="2:19" ht="12.75">
      <c r="B54" s="605"/>
      <c r="C54" s="488">
        <v>44</v>
      </c>
      <c r="D54" s="251">
        <f>IF(ISBLANK('Raw FRM data'!D54),"",'Raw FRM data'!D54)</f>
      </c>
      <c r="E54" s="105"/>
      <c r="F54" s="105"/>
      <c r="G54" s="112"/>
      <c r="H54" s="507">
        <f t="shared" si="0"/>
        <v>0</v>
      </c>
      <c r="I54" s="508">
        <f t="shared" si="0"/>
        <v>0</v>
      </c>
      <c r="J54" s="508">
        <f t="shared" si="0"/>
        <v>0</v>
      </c>
      <c r="K54" s="352">
        <f t="shared" si="1"/>
      </c>
      <c r="L54" s="352">
        <f t="shared" si="2"/>
      </c>
      <c r="M54" s="353">
        <f t="shared" si="3"/>
      </c>
      <c r="N54" s="54">
        <f t="shared" si="4"/>
      </c>
      <c r="O54" s="532">
        <f>IF(N54="","",IF(OR('Raw FRM data'!S54&lt;3,'Raw FRM data'!S54&gt;200,N54&lt;2),"NOT VALID","ok"))</f>
      </c>
      <c r="P54" s="388">
        <f t="shared" si="5"/>
      </c>
      <c r="Q54" s="51">
        <f t="shared" si="7"/>
      </c>
      <c r="R54" s="477">
        <f t="shared" si="6"/>
      </c>
      <c r="S54" s="119"/>
    </row>
    <row r="55" spans="2:19" ht="12.75">
      <c r="B55" s="605"/>
      <c r="C55" s="488">
        <v>45</v>
      </c>
      <c r="D55" s="251">
        <f>IF(ISBLANK('Raw FRM data'!D55),"",'Raw FRM data'!D55)</f>
      </c>
      <c r="E55" s="105"/>
      <c r="F55" s="105"/>
      <c r="G55" s="112"/>
      <c r="H55" s="507">
        <f t="shared" si="0"/>
        <v>0</v>
      </c>
      <c r="I55" s="508">
        <f t="shared" si="0"/>
        <v>0</v>
      </c>
      <c r="J55" s="508">
        <f t="shared" si="0"/>
        <v>0</v>
      </c>
      <c r="K55" s="352">
        <f t="shared" si="1"/>
      </c>
      <c r="L55" s="352">
        <f t="shared" si="2"/>
      </c>
      <c r="M55" s="353">
        <f t="shared" si="3"/>
      </c>
      <c r="N55" s="54">
        <f t="shared" si="4"/>
      </c>
      <c r="O55" s="532">
        <f>IF(N55="","",IF(OR('Raw FRM data'!S55&lt;3,'Raw FRM data'!S55&gt;200,N55&lt;2),"NOT VALID","ok"))</f>
      </c>
      <c r="P55" s="388">
        <f t="shared" si="5"/>
      </c>
      <c r="Q55" s="51">
        <f t="shared" si="7"/>
      </c>
      <c r="R55" s="477">
        <f t="shared" si="6"/>
      </c>
      <c r="S55" s="119"/>
    </row>
    <row r="56" spans="2:19" ht="13.5" thickBot="1">
      <c r="B56" s="606"/>
      <c r="C56" s="489">
        <v>46</v>
      </c>
      <c r="D56" s="252">
        <f>IF(ISBLANK('Raw FRM data'!D56),"",'Raw FRM data'!D56)</f>
      </c>
      <c r="E56" s="107"/>
      <c r="F56" s="107"/>
      <c r="G56" s="113"/>
      <c r="H56" s="511">
        <f t="shared" si="0"/>
        <v>0</v>
      </c>
      <c r="I56" s="512">
        <f t="shared" si="0"/>
        <v>0</v>
      </c>
      <c r="J56" s="512">
        <f t="shared" si="0"/>
        <v>0</v>
      </c>
      <c r="K56" s="348">
        <f t="shared" si="1"/>
      </c>
      <c r="L56" s="348">
        <f t="shared" si="2"/>
      </c>
      <c r="M56" s="349">
        <f t="shared" si="3"/>
      </c>
      <c r="N56" s="55">
        <f t="shared" si="4"/>
      </c>
      <c r="O56" s="533">
        <f>IF(N56="","",IF(OR('Raw FRM data'!S56&lt;3,'Raw FRM data'!S56&gt;200,N56&lt;2),"NOT VALID","ok"))</f>
      </c>
      <c r="P56" s="399">
        <f t="shared" si="5"/>
      </c>
      <c r="Q56" s="52">
        <f t="shared" si="7"/>
      </c>
      <c r="R56" s="478">
        <f t="shared" si="6"/>
      </c>
      <c r="S56" s="124"/>
    </row>
    <row r="57" spans="2:19" ht="12.75">
      <c r="B57" s="605" t="s">
        <v>163</v>
      </c>
      <c r="C57" s="72">
        <v>47</v>
      </c>
      <c r="D57" s="249">
        <f>IF(ISBLANK('Raw FRM data'!D57),"",'Raw FRM data'!D57)</f>
      </c>
      <c r="E57" s="109"/>
      <c r="F57" s="109"/>
      <c r="G57" s="114"/>
      <c r="H57" s="505">
        <f t="shared" si="0"/>
        <v>0</v>
      </c>
      <c r="I57" s="506">
        <f t="shared" si="0"/>
        <v>0</v>
      </c>
      <c r="J57" s="506">
        <f t="shared" si="0"/>
        <v>0</v>
      </c>
      <c r="K57" s="354">
        <f t="shared" si="1"/>
      </c>
      <c r="L57" s="354">
        <f t="shared" si="2"/>
      </c>
      <c r="M57" s="355">
        <f t="shared" si="3"/>
      </c>
      <c r="N57" s="123">
        <f t="shared" si="4"/>
      </c>
      <c r="O57" s="534">
        <f>IF(N57="","",IF(OR('Raw FRM data'!S57&lt;3,'Raw FRM data'!S57&gt;200,N57&lt;2),"NOT VALID","ok"))</f>
      </c>
      <c r="P57" s="400">
        <f t="shared" si="5"/>
      </c>
      <c r="Q57" s="50">
        <f t="shared" si="7"/>
      </c>
      <c r="R57" s="479">
        <f t="shared" si="6"/>
      </c>
      <c r="S57" s="118"/>
    </row>
    <row r="58" spans="2:19" ht="12.75">
      <c r="B58" s="605"/>
      <c r="C58" s="488">
        <v>48</v>
      </c>
      <c r="D58" s="251">
        <f>IF(ISBLANK('Raw FRM data'!D58),"",'Raw FRM data'!D58)</f>
      </c>
      <c r="E58" s="105"/>
      <c r="F58" s="105"/>
      <c r="G58" s="114"/>
      <c r="H58" s="507">
        <f aca="true" t="shared" si="8" ref="H58:H77">IF(OR(ISBLANK(E58),ISTEXT(E58)),0,E58)</f>
        <v>0</v>
      </c>
      <c r="I58" s="508">
        <f aca="true" t="shared" si="9" ref="I58:I77">IF(OR(ISBLANK(F58),ISTEXT(F58)),0,F58)</f>
        <v>0</v>
      </c>
      <c r="J58" s="508">
        <f aca="true" t="shared" si="10" ref="J58:J77">IF(OR(ISBLANK(G58),ISTEXT(G58)),0,G58)</f>
        <v>0</v>
      </c>
      <c r="K58" s="354">
        <f aca="true" t="shared" si="11" ref="K58:K80">IF(OR(H58+I58=0,H58+J58=0),"",IF(AND(OR(2*H58/(H58+I58)&lt;0.93,2*H58/(H58+I58)&gt;1.07),OR(2*H58/(H58+J58)&lt;0.93,2*H58/(H58+J58)&gt;1.07)),"OUT","OK"))</f>
      </c>
      <c r="L58" s="354">
        <f aca="true" t="shared" si="12" ref="L58:L80">IF(OR(I58+H58=0,I58+J58=0),"",IF(AND(OR(2*I58/(I58+H58)&lt;0.93,2*I58/(I58+H58)&gt;1.07),OR(2*I58/(I58+J58)&lt;0.93,2*I58/(I58+J58)&gt;1.07)),"OUT","OK"))</f>
      </c>
      <c r="M58" s="355">
        <f aca="true" t="shared" si="13" ref="M58:M80">IF(OR(J58+H58=0,J58+I58=0),"",IF(AND(OR(2*J58/(J58+H58)&lt;0.93,2*J58/(J58+H58)&gt;1.07),OR(2*J58/(J58+I58)&lt;0.93,2*J58/(J58+I58)&gt;1.07)),"OUT","OK"))</f>
      </c>
      <c r="N58" s="123">
        <f aca="true" t="shared" si="14" ref="N58:N80">IF(COUNT(E58:G58),COUNT(E58:G58),"")</f>
      </c>
      <c r="O58" s="534">
        <f>IF(N58="","",IF(OR('Raw FRM data'!S58&lt;3,'Raw FRM data'!S58&gt;200,N58&lt;2),"NOT VALID","ok"))</f>
      </c>
      <c r="P58" s="388">
        <f aca="true" t="shared" si="15" ref="P58:P80">IF(ISERROR(AVERAGE(E58:G58)),"",AVERAGE(E58:G58))</f>
      </c>
      <c r="Q58" s="51">
        <f aca="true" t="shared" si="16" ref="Q58:Q80">IF(N58="","",IF(N58&lt;2,"--  ",STDEV(E58:G58)))</f>
      </c>
      <c r="R58" s="477">
        <f aca="true" t="shared" si="17" ref="R58:R80">IF(Q58="","",IF(Q58="--  ","--  ",Q58/P58))</f>
      </c>
      <c r="S58" s="118"/>
    </row>
    <row r="59" spans="2:19" ht="12.75">
      <c r="B59" s="605"/>
      <c r="C59" s="488">
        <v>49</v>
      </c>
      <c r="D59" s="251">
        <f>IF(ISBLANK('Raw FRM data'!D59),"",'Raw FRM data'!D59)</f>
      </c>
      <c r="E59" s="105"/>
      <c r="F59" s="105"/>
      <c r="G59" s="114"/>
      <c r="H59" s="507">
        <f t="shared" si="8"/>
        <v>0</v>
      </c>
      <c r="I59" s="508">
        <f t="shared" si="9"/>
        <v>0</v>
      </c>
      <c r="J59" s="508">
        <f t="shared" si="10"/>
        <v>0</v>
      </c>
      <c r="K59" s="354">
        <f t="shared" si="11"/>
      </c>
      <c r="L59" s="354">
        <f t="shared" si="12"/>
      </c>
      <c r="M59" s="355">
        <f t="shared" si="13"/>
      </c>
      <c r="N59" s="123">
        <f t="shared" si="14"/>
      </c>
      <c r="O59" s="534">
        <f>IF(N59="","",IF(OR('Raw FRM data'!S59&lt;3,'Raw FRM data'!S59&gt;200,N59&lt;2),"NOT VALID","ok"))</f>
      </c>
      <c r="P59" s="388">
        <f t="shared" si="15"/>
      </c>
      <c r="Q59" s="51">
        <f t="shared" si="16"/>
      </c>
      <c r="R59" s="477">
        <f t="shared" si="17"/>
      </c>
      <c r="S59" s="118"/>
    </row>
    <row r="60" spans="2:19" ht="12.75">
      <c r="B60" s="605"/>
      <c r="C60" s="488">
        <v>50</v>
      </c>
      <c r="D60" s="251">
        <f>IF(ISBLANK('Raw FRM data'!D60),"",'Raw FRM data'!D60)</f>
      </c>
      <c r="E60" s="105"/>
      <c r="F60" s="105"/>
      <c r="G60" s="114"/>
      <c r="H60" s="507">
        <f t="shared" si="8"/>
        <v>0</v>
      </c>
      <c r="I60" s="508">
        <f t="shared" si="9"/>
        <v>0</v>
      </c>
      <c r="J60" s="508">
        <f t="shared" si="10"/>
        <v>0</v>
      </c>
      <c r="K60" s="354">
        <f t="shared" si="11"/>
      </c>
      <c r="L60" s="354">
        <f t="shared" si="12"/>
      </c>
      <c r="M60" s="355">
        <f t="shared" si="13"/>
      </c>
      <c r="N60" s="123">
        <f t="shared" si="14"/>
      </c>
      <c r="O60" s="534">
        <f>IF(N60="","",IF(OR('Raw FRM data'!S60&lt;3,'Raw FRM data'!S60&gt;200,N60&lt;2),"NOT VALID","ok"))</f>
      </c>
      <c r="P60" s="388">
        <f t="shared" si="15"/>
      </c>
      <c r="Q60" s="51">
        <f t="shared" si="16"/>
      </c>
      <c r="R60" s="477">
        <f t="shared" si="17"/>
      </c>
      <c r="S60" s="118"/>
    </row>
    <row r="61" spans="2:19" ht="12.75">
      <c r="B61" s="605"/>
      <c r="C61" s="488">
        <v>51</v>
      </c>
      <c r="D61" s="251">
        <f>IF(ISBLANK('Raw FRM data'!D61),"",'Raw FRM data'!D61)</f>
      </c>
      <c r="E61" s="105"/>
      <c r="F61" s="105"/>
      <c r="G61" s="114"/>
      <c r="H61" s="507">
        <f t="shared" si="8"/>
        <v>0</v>
      </c>
      <c r="I61" s="508">
        <f t="shared" si="9"/>
        <v>0</v>
      </c>
      <c r="J61" s="508">
        <f t="shared" si="10"/>
        <v>0</v>
      </c>
      <c r="K61" s="354">
        <f t="shared" si="11"/>
      </c>
      <c r="L61" s="354">
        <f t="shared" si="12"/>
      </c>
      <c r="M61" s="355">
        <f t="shared" si="13"/>
      </c>
      <c r="N61" s="123">
        <f t="shared" si="14"/>
      </c>
      <c r="O61" s="534">
        <f>IF(N61="","",IF(OR('Raw FRM data'!S61&lt;3,'Raw FRM data'!S61&gt;200,N61&lt;2),"NOT VALID","ok"))</f>
      </c>
      <c r="P61" s="388">
        <f t="shared" si="15"/>
      </c>
      <c r="Q61" s="51">
        <f t="shared" si="16"/>
      </c>
      <c r="R61" s="477">
        <f t="shared" si="17"/>
      </c>
      <c r="S61" s="118"/>
    </row>
    <row r="62" spans="2:19" ht="12.75">
      <c r="B62" s="605"/>
      <c r="C62" s="488">
        <v>52</v>
      </c>
      <c r="D62" s="251">
        <f>IF(ISBLANK('Raw FRM data'!D62),"",'Raw FRM data'!D62)</f>
      </c>
      <c r="E62" s="105"/>
      <c r="F62" s="105"/>
      <c r="G62" s="114"/>
      <c r="H62" s="507">
        <f t="shared" si="8"/>
        <v>0</v>
      </c>
      <c r="I62" s="508">
        <f t="shared" si="9"/>
        <v>0</v>
      </c>
      <c r="J62" s="508">
        <f t="shared" si="10"/>
        <v>0</v>
      </c>
      <c r="K62" s="354">
        <f t="shared" si="11"/>
      </c>
      <c r="L62" s="354">
        <f t="shared" si="12"/>
      </c>
      <c r="M62" s="355">
        <f t="shared" si="13"/>
      </c>
      <c r="N62" s="123">
        <f t="shared" si="14"/>
      </c>
      <c r="O62" s="534">
        <f>IF(N62="","",IF(OR('Raw FRM data'!S62&lt;3,'Raw FRM data'!S62&gt;200,N62&lt;2),"NOT VALID","ok"))</f>
      </c>
      <c r="P62" s="388">
        <f t="shared" si="15"/>
      </c>
      <c r="Q62" s="51">
        <f t="shared" si="16"/>
      </c>
      <c r="R62" s="477">
        <f t="shared" si="17"/>
      </c>
      <c r="S62" s="118"/>
    </row>
    <row r="63" spans="2:19" ht="12.75">
      <c r="B63" s="605"/>
      <c r="C63" s="488">
        <v>53</v>
      </c>
      <c r="D63" s="251">
        <f>IF(ISBLANK('Raw FRM data'!D63),"",'Raw FRM data'!D63)</f>
      </c>
      <c r="E63" s="105"/>
      <c r="F63" s="105"/>
      <c r="G63" s="114"/>
      <c r="H63" s="507">
        <f t="shared" si="8"/>
        <v>0</v>
      </c>
      <c r="I63" s="508">
        <f t="shared" si="9"/>
        <v>0</v>
      </c>
      <c r="J63" s="508">
        <f t="shared" si="10"/>
        <v>0</v>
      </c>
      <c r="K63" s="354">
        <f t="shared" si="11"/>
      </c>
      <c r="L63" s="354">
        <f t="shared" si="12"/>
      </c>
      <c r="M63" s="355">
        <f t="shared" si="13"/>
      </c>
      <c r="N63" s="123">
        <f t="shared" si="14"/>
      </c>
      <c r="O63" s="534">
        <f>IF(N63="","",IF(OR('Raw FRM data'!S63&lt;3,'Raw FRM data'!S63&gt;200,N63&lt;2),"NOT VALID","ok"))</f>
      </c>
      <c r="P63" s="388">
        <f t="shared" si="15"/>
      </c>
      <c r="Q63" s="51">
        <f t="shared" si="16"/>
      </c>
      <c r="R63" s="477">
        <f t="shared" si="17"/>
      </c>
      <c r="S63" s="118"/>
    </row>
    <row r="64" spans="2:19" ht="12.75">
      <c r="B64" s="605"/>
      <c r="C64" s="488">
        <v>54</v>
      </c>
      <c r="D64" s="251">
        <f>IF(ISBLANK('Raw FRM data'!D64),"",'Raw FRM data'!D64)</f>
      </c>
      <c r="E64" s="109"/>
      <c r="F64" s="109"/>
      <c r="G64" s="114"/>
      <c r="H64" s="507">
        <f t="shared" si="8"/>
        <v>0</v>
      </c>
      <c r="I64" s="508">
        <f t="shared" si="9"/>
        <v>0</v>
      </c>
      <c r="J64" s="508">
        <f t="shared" si="10"/>
        <v>0</v>
      </c>
      <c r="K64" s="354">
        <f t="shared" si="11"/>
      </c>
      <c r="L64" s="354">
        <f t="shared" si="12"/>
      </c>
      <c r="M64" s="355">
        <f t="shared" si="13"/>
      </c>
      <c r="N64" s="123">
        <f t="shared" si="14"/>
      </c>
      <c r="O64" s="534">
        <f>IF(N64="","",IF(OR('Raw FRM data'!S64&lt;3,'Raw FRM data'!S64&gt;200,N64&lt;2),"NOT VALID","ok"))</f>
      </c>
      <c r="P64" s="388">
        <f t="shared" si="15"/>
      </c>
      <c r="Q64" s="51">
        <f t="shared" si="16"/>
      </c>
      <c r="R64" s="477">
        <f t="shared" si="17"/>
      </c>
      <c r="S64" s="118"/>
    </row>
    <row r="65" spans="2:19" ht="12.75">
      <c r="B65" s="605"/>
      <c r="C65" s="488">
        <v>55</v>
      </c>
      <c r="D65" s="251">
        <f>IF(ISBLANK('Raw FRM data'!D65),"",'Raw FRM data'!D65)</f>
      </c>
      <c r="E65" s="105"/>
      <c r="F65" s="105"/>
      <c r="G65" s="114"/>
      <c r="H65" s="507">
        <f t="shared" si="8"/>
        <v>0</v>
      </c>
      <c r="I65" s="508">
        <f t="shared" si="9"/>
        <v>0</v>
      </c>
      <c r="J65" s="508">
        <f t="shared" si="10"/>
        <v>0</v>
      </c>
      <c r="K65" s="354">
        <f t="shared" si="11"/>
      </c>
      <c r="L65" s="354">
        <f t="shared" si="12"/>
      </c>
      <c r="M65" s="355">
        <f t="shared" si="13"/>
      </c>
      <c r="N65" s="123">
        <f t="shared" si="14"/>
      </c>
      <c r="O65" s="534">
        <f>IF(N65="","",IF(OR('Raw FRM data'!S65&lt;3,'Raw FRM data'!S65&gt;200,N65&lt;2),"NOT VALID","ok"))</f>
      </c>
      <c r="P65" s="388">
        <f t="shared" si="15"/>
      </c>
      <c r="Q65" s="51">
        <f t="shared" si="16"/>
      </c>
      <c r="R65" s="477">
        <f t="shared" si="17"/>
      </c>
      <c r="S65" s="118"/>
    </row>
    <row r="66" spans="2:19" ht="12.75">
      <c r="B66" s="605"/>
      <c r="C66" s="488">
        <v>56</v>
      </c>
      <c r="D66" s="251">
        <f>IF(ISBLANK('Raw FRM data'!D66),"",'Raw FRM data'!D66)</f>
      </c>
      <c r="E66" s="105"/>
      <c r="F66" s="105"/>
      <c r="G66" s="114"/>
      <c r="H66" s="507">
        <f t="shared" si="8"/>
        <v>0</v>
      </c>
      <c r="I66" s="508">
        <f t="shared" si="9"/>
        <v>0</v>
      </c>
      <c r="J66" s="508">
        <f t="shared" si="10"/>
        <v>0</v>
      </c>
      <c r="K66" s="354">
        <f t="shared" si="11"/>
      </c>
      <c r="L66" s="354">
        <f t="shared" si="12"/>
      </c>
      <c r="M66" s="355">
        <f t="shared" si="13"/>
      </c>
      <c r="N66" s="123">
        <f t="shared" si="14"/>
      </c>
      <c r="O66" s="534">
        <f>IF(N66="","",IF(OR('Raw FRM data'!S66&lt;3,'Raw FRM data'!S66&gt;200,N66&lt;2),"NOT VALID","ok"))</f>
      </c>
      <c r="P66" s="388">
        <f t="shared" si="15"/>
      </c>
      <c r="Q66" s="51">
        <f t="shared" si="16"/>
      </c>
      <c r="R66" s="477">
        <f t="shared" si="17"/>
      </c>
      <c r="S66" s="118"/>
    </row>
    <row r="67" spans="2:19" ht="12.75">
      <c r="B67" s="605"/>
      <c r="C67" s="488">
        <v>57</v>
      </c>
      <c r="D67" s="251">
        <f>IF(ISBLANK('Raw FRM data'!D67),"",'Raw FRM data'!D67)</f>
      </c>
      <c r="E67" s="105"/>
      <c r="F67" s="105"/>
      <c r="G67" s="114"/>
      <c r="H67" s="507">
        <f t="shared" si="8"/>
        <v>0</v>
      </c>
      <c r="I67" s="508">
        <f t="shared" si="9"/>
        <v>0</v>
      </c>
      <c r="J67" s="508">
        <f t="shared" si="10"/>
        <v>0</v>
      </c>
      <c r="K67" s="354">
        <f t="shared" si="11"/>
      </c>
      <c r="L67" s="354">
        <f t="shared" si="12"/>
      </c>
      <c r="M67" s="355">
        <f t="shared" si="13"/>
      </c>
      <c r="N67" s="123">
        <f t="shared" si="14"/>
      </c>
      <c r="O67" s="534">
        <f>IF(N67="","",IF(OR('Raw FRM data'!S67&lt;3,'Raw FRM data'!S67&gt;200,N67&lt;2),"NOT VALID","ok"))</f>
      </c>
      <c r="P67" s="388">
        <f t="shared" si="15"/>
      </c>
      <c r="Q67" s="51">
        <f t="shared" si="16"/>
      </c>
      <c r="R67" s="477">
        <f t="shared" si="17"/>
      </c>
      <c r="S67" s="118"/>
    </row>
    <row r="68" spans="2:19" ht="12.75">
      <c r="B68" s="605"/>
      <c r="C68" s="488">
        <v>58</v>
      </c>
      <c r="D68" s="251">
        <f>IF(ISBLANK('Raw FRM data'!D68),"",'Raw FRM data'!D68)</f>
      </c>
      <c r="E68" s="105"/>
      <c r="F68" s="105"/>
      <c r="G68" s="114"/>
      <c r="H68" s="507">
        <f t="shared" si="8"/>
        <v>0</v>
      </c>
      <c r="I68" s="508">
        <f t="shared" si="9"/>
        <v>0</v>
      </c>
      <c r="J68" s="508">
        <f t="shared" si="10"/>
        <v>0</v>
      </c>
      <c r="K68" s="354">
        <f t="shared" si="11"/>
      </c>
      <c r="L68" s="354">
        <f t="shared" si="12"/>
      </c>
      <c r="M68" s="355">
        <f t="shared" si="13"/>
      </c>
      <c r="N68" s="123">
        <f t="shared" si="14"/>
      </c>
      <c r="O68" s="534">
        <f>IF(N68="","",IF(OR('Raw FRM data'!S68&lt;3,'Raw FRM data'!S68&gt;200,N68&lt;2),"NOT VALID","ok"))</f>
      </c>
      <c r="P68" s="388">
        <f t="shared" si="15"/>
      </c>
      <c r="Q68" s="51">
        <f t="shared" si="16"/>
      </c>
      <c r="R68" s="477">
        <f t="shared" si="17"/>
      </c>
      <c r="S68" s="118"/>
    </row>
    <row r="69" spans="2:19" ht="12.75">
      <c r="B69" s="605"/>
      <c r="C69" s="488">
        <v>59</v>
      </c>
      <c r="D69" s="251">
        <f>IF(ISBLANK('Raw FRM data'!D69),"",'Raw FRM data'!D69)</f>
      </c>
      <c r="E69" s="105"/>
      <c r="F69" s="105"/>
      <c r="G69" s="114"/>
      <c r="H69" s="507">
        <f t="shared" si="8"/>
        <v>0</v>
      </c>
      <c r="I69" s="508">
        <f t="shared" si="9"/>
        <v>0</v>
      </c>
      <c r="J69" s="508">
        <f t="shared" si="10"/>
        <v>0</v>
      </c>
      <c r="K69" s="354">
        <f t="shared" si="11"/>
      </c>
      <c r="L69" s="354">
        <f t="shared" si="12"/>
      </c>
      <c r="M69" s="355">
        <f t="shared" si="13"/>
      </c>
      <c r="N69" s="123">
        <f t="shared" si="14"/>
      </c>
      <c r="O69" s="534">
        <f>IF(N69="","",IF(OR('Raw FRM data'!S69&lt;3,'Raw FRM data'!S69&gt;200,N69&lt;2),"NOT VALID","ok"))</f>
      </c>
      <c r="P69" s="388">
        <f t="shared" si="15"/>
      </c>
      <c r="Q69" s="51">
        <f t="shared" si="16"/>
      </c>
      <c r="R69" s="477">
        <f t="shared" si="17"/>
      </c>
      <c r="S69" s="118"/>
    </row>
    <row r="70" spans="2:19" ht="12.75">
      <c r="B70" s="605"/>
      <c r="C70" s="488">
        <v>60</v>
      </c>
      <c r="D70" s="251">
        <f>IF(ISBLANK('Raw FRM data'!D70),"",'Raw FRM data'!D70)</f>
      </c>
      <c r="E70" s="105"/>
      <c r="F70" s="105"/>
      <c r="G70" s="114"/>
      <c r="H70" s="507">
        <f t="shared" si="8"/>
        <v>0</v>
      </c>
      <c r="I70" s="508">
        <f t="shared" si="9"/>
        <v>0</v>
      </c>
      <c r="J70" s="508">
        <f t="shared" si="10"/>
        <v>0</v>
      </c>
      <c r="K70" s="354">
        <f t="shared" si="11"/>
      </c>
      <c r="L70" s="354">
        <f t="shared" si="12"/>
      </c>
      <c r="M70" s="355">
        <f t="shared" si="13"/>
      </c>
      <c r="N70" s="123">
        <f t="shared" si="14"/>
      </c>
      <c r="O70" s="534">
        <f>IF(N70="","",IF(OR('Raw FRM data'!S70&lt;3,'Raw FRM data'!S70&gt;200,N70&lt;2),"NOT VALID","ok"))</f>
      </c>
      <c r="P70" s="388">
        <f t="shared" si="15"/>
      </c>
      <c r="Q70" s="51">
        <f t="shared" si="16"/>
      </c>
      <c r="R70" s="477">
        <f t="shared" si="17"/>
      </c>
      <c r="S70" s="118"/>
    </row>
    <row r="71" spans="2:19" ht="12.75">
      <c r="B71" s="605"/>
      <c r="C71" s="488">
        <v>61</v>
      </c>
      <c r="D71" s="251">
        <f>IF(ISBLANK('Raw FRM data'!D71),"",'Raw FRM data'!D71)</f>
      </c>
      <c r="E71" s="109"/>
      <c r="F71" s="109"/>
      <c r="G71" s="114"/>
      <c r="H71" s="507">
        <f t="shared" si="8"/>
        <v>0</v>
      </c>
      <c r="I71" s="508">
        <f t="shared" si="9"/>
        <v>0</v>
      </c>
      <c r="J71" s="508">
        <f t="shared" si="10"/>
        <v>0</v>
      </c>
      <c r="K71" s="354">
        <f t="shared" si="11"/>
      </c>
      <c r="L71" s="354">
        <f t="shared" si="12"/>
      </c>
      <c r="M71" s="355">
        <f t="shared" si="13"/>
      </c>
      <c r="N71" s="123">
        <f t="shared" si="14"/>
      </c>
      <c r="O71" s="534">
        <f>IF(N71="","",IF(OR('Raw FRM data'!S71&lt;3,'Raw FRM data'!S71&gt;200,N71&lt;2),"NOT VALID","ok"))</f>
      </c>
      <c r="P71" s="388">
        <f t="shared" si="15"/>
      </c>
      <c r="Q71" s="51">
        <f t="shared" si="16"/>
      </c>
      <c r="R71" s="477">
        <f t="shared" si="17"/>
      </c>
      <c r="S71" s="118"/>
    </row>
    <row r="72" spans="2:19" ht="12.75">
      <c r="B72" s="605"/>
      <c r="C72" s="488">
        <v>62</v>
      </c>
      <c r="D72" s="251">
        <f>IF(ISBLANK('Raw FRM data'!D72),"",'Raw FRM data'!D72)</f>
      </c>
      <c r="E72" s="109"/>
      <c r="F72" s="109"/>
      <c r="G72" s="114"/>
      <c r="H72" s="507">
        <f t="shared" si="8"/>
        <v>0</v>
      </c>
      <c r="I72" s="508">
        <f t="shared" si="9"/>
        <v>0</v>
      </c>
      <c r="J72" s="508">
        <f t="shared" si="10"/>
        <v>0</v>
      </c>
      <c r="K72" s="354">
        <f t="shared" si="11"/>
      </c>
      <c r="L72" s="354">
        <f t="shared" si="12"/>
      </c>
      <c r="M72" s="355">
        <f t="shared" si="13"/>
      </c>
      <c r="N72" s="123">
        <f t="shared" si="14"/>
      </c>
      <c r="O72" s="534">
        <f>IF(N72="","",IF(OR('Raw FRM data'!S72&lt;3,'Raw FRM data'!S72&gt;200,N72&lt;2),"NOT VALID","ok"))</f>
      </c>
      <c r="P72" s="388">
        <f t="shared" si="15"/>
      </c>
      <c r="Q72" s="51">
        <f t="shared" si="16"/>
      </c>
      <c r="R72" s="477">
        <f t="shared" si="17"/>
      </c>
      <c r="S72" s="118"/>
    </row>
    <row r="73" spans="2:19" ht="12.75">
      <c r="B73" s="605"/>
      <c r="C73" s="488">
        <v>63</v>
      </c>
      <c r="D73" s="251">
        <f>IF(ISBLANK('Raw FRM data'!D73),"",'Raw FRM data'!D73)</f>
      </c>
      <c r="E73" s="109"/>
      <c r="F73" s="109"/>
      <c r="G73" s="114"/>
      <c r="H73" s="507">
        <f t="shared" si="8"/>
        <v>0</v>
      </c>
      <c r="I73" s="508">
        <f t="shared" si="9"/>
        <v>0</v>
      </c>
      <c r="J73" s="508">
        <f t="shared" si="10"/>
        <v>0</v>
      </c>
      <c r="K73" s="354">
        <f t="shared" si="11"/>
      </c>
      <c r="L73" s="354">
        <f t="shared" si="12"/>
      </c>
      <c r="M73" s="355">
        <f t="shared" si="13"/>
      </c>
      <c r="N73" s="123">
        <f t="shared" si="14"/>
      </c>
      <c r="O73" s="534">
        <f>IF(N73="","",IF(OR('Raw FRM data'!S73&lt;3,'Raw FRM data'!S73&gt;200,N73&lt;2),"NOT VALID","ok"))</f>
      </c>
      <c r="P73" s="388">
        <f t="shared" si="15"/>
      </c>
      <c r="Q73" s="51">
        <f t="shared" si="16"/>
      </c>
      <c r="R73" s="477">
        <f t="shared" si="17"/>
      </c>
      <c r="S73" s="118"/>
    </row>
    <row r="74" spans="2:19" ht="12.75">
      <c r="B74" s="605"/>
      <c r="C74" s="488">
        <v>64</v>
      </c>
      <c r="D74" s="251">
        <f>IF(ISBLANK('Raw FRM data'!D74),"",'Raw FRM data'!D74)</f>
      </c>
      <c r="E74" s="109"/>
      <c r="F74" s="109"/>
      <c r="G74" s="114"/>
      <c r="H74" s="507">
        <f t="shared" si="8"/>
        <v>0</v>
      </c>
      <c r="I74" s="508">
        <f t="shared" si="9"/>
        <v>0</v>
      </c>
      <c r="J74" s="508">
        <f t="shared" si="10"/>
        <v>0</v>
      </c>
      <c r="K74" s="354">
        <f t="shared" si="11"/>
      </c>
      <c r="L74" s="354">
        <f t="shared" si="12"/>
      </c>
      <c r="M74" s="355">
        <f t="shared" si="13"/>
      </c>
      <c r="N74" s="123">
        <f t="shared" si="14"/>
      </c>
      <c r="O74" s="534">
        <f>IF(N74="","",IF(OR('Raw FRM data'!S74&lt;3,'Raw FRM data'!S74&gt;200,N74&lt;2),"NOT VALID","ok"))</f>
      </c>
      <c r="P74" s="388">
        <f t="shared" si="15"/>
      </c>
      <c r="Q74" s="51">
        <f t="shared" si="16"/>
      </c>
      <c r="R74" s="477">
        <f t="shared" si="17"/>
      </c>
      <c r="S74" s="118"/>
    </row>
    <row r="75" spans="2:19" ht="12.75">
      <c r="B75" s="605"/>
      <c r="C75" s="488">
        <v>65</v>
      </c>
      <c r="D75" s="251">
        <f>IF(ISBLANK('Raw FRM data'!D75),"",'Raw FRM data'!D75)</f>
      </c>
      <c r="E75" s="109"/>
      <c r="F75" s="109"/>
      <c r="G75" s="114"/>
      <c r="H75" s="507">
        <f t="shared" si="8"/>
        <v>0</v>
      </c>
      <c r="I75" s="508">
        <f t="shared" si="9"/>
        <v>0</v>
      </c>
      <c r="J75" s="508">
        <f t="shared" si="10"/>
        <v>0</v>
      </c>
      <c r="K75" s="354">
        <f t="shared" si="11"/>
      </c>
      <c r="L75" s="354">
        <f t="shared" si="12"/>
      </c>
      <c r="M75" s="355">
        <f t="shared" si="13"/>
      </c>
      <c r="N75" s="123">
        <f t="shared" si="14"/>
      </c>
      <c r="O75" s="534">
        <f>IF(N75="","",IF(OR('Raw FRM data'!S75&lt;3,'Raw FRM data'!S75&gt;200,N75&lt;2),"NOT VALID","ok"))</f>
      </c>
      <c r="P75" s="388">
        <f t="shared" si="15"/>
      </c>
      <c r="Q75" s="51">
        <f t="shared" si="16"/>
      </c>
      <c r="R75" s="477">
        <f t="shared" si="17"/>
      </c>
      <c r="S75" s="118"/>
    </row>
    <row r="76" spans="2:19" ht="12.75">
      <c r="B76" s="605"/>
      <c r="C76" s="488">
        <v>66</v>
      </c>
      <c r="D76" s="251">
        <f>IF(ISBLANK('Raw FRM data'!D76),"",'Raw FRM data'!D76)</f>
      </c>
      <c r="E76" s="109"/>
      <c r="F76" s="109"/>
      <c r="G76" s="114"/>
      <c r="H76" s="507">
        <f t="shared" si="8"/>
        <v>0</v>
      </c>
      <c r="I76" s="508">
        <f t="shared" si="9"/>
        <v>0</v>
      </c>
      <c r="J76" s="508">
        <f t="shared" si="10"/>
        <v>0</v>
      </c>
      <c r="K76" s="354">
        <f t="shared" si="11"/>
      </c>
      <c r="L76" s="354">
        <f t="shared" si="12"/>
      </c>
      <c r="M76" s="355">
        <f t="shared" si="13"/>
      </c>
      <c r="N76" s="123">
        <f t="shared" si="14"/>
      </c>
      <c r="O76" s="534">
        <f>IF(N76="","",IF(OR('Raw FRM data'!S76&lt;3,'Raw FRM data'!S76&gt;200,N76&lt;2),"NOT VALID","ok"))</f>
      </c>
      <c r="P76" s="388">
        <f t="shared" si="15"/>
      </c>
      <c r="Q76" s="51">
        <f t="shared" si="16"/>
      </c>
      <c r="R76" s="477">
        <f t="shared" si="17"/>
      </c>
      <c r="S76" s="118"/>
    </row>
    <row r="77" spans="2:19" ht="12.75">
      <c r="B77" s="605"/>
      <c r="C77" s="488">
        <v>67</v>
      </c>
      <c r="D77" s="251">
        <f>IF(ISBLANK('Raw FRM data'!D77),"",'Raw FRM data'!D77)</f>
      </c>
      <c r="E77" s="109"/>
      <c r="F77" s="109"/>
      <c r="G77" s="114"/>
      <c r="H77" s="507">
        <f t="shared" si="8"/>
        <v>0</v>
      </c>
      <c r="I77" s="508">
        <f t="shared" si="9"/>
        <v>0</v>
      </c>
      <c r="J77" s="508">
        <f t="shared" si="10"/>
        <v>0</v>
      </c>
      <c r="K77" s="354">
        <f t="shared" si="11"/>
      </c>
      <c r="L77" s="354">
        <f t="shared" si="12"/>
      </c>
      <c r="M77" s="355">
        <f t="shared" si="13"/>
      </c>
      <c r="N77" s="123">
        <f t="shared" si="14"/>
      </c>
      <c r="O77" s="534">
        <f>IF(N77="","",IF(OR('Raw FRM data'!S77&lt;3,'Raw FRM data'!S77&gt;200,N77&lt;2),"NOT VALID","ok"))</f>
      </c>
      <c r="P77" s="388">
        <f t="shared" si="15"/>
      </c>
      <c r="Q77" s="51">
        <f t="shared" si="16"/>
      </c>
      <c r="R77" s="477">
        <f t="shared" si="17"/>
      </c>
      <c r="S77" s="118"/>
    </row>
    <row r="78" spans="2:19" ht="12.75">
      <c r="B78" s="605"/>
      <c r="C78" s="488">
        <v>68</v>
      </c>
      <c r="D78" s="251">
        <f>IF(ISBLANK('Raw FRM data'!D78),"",'Raw FRM data'!D78)</f>
      </c>
      <c r="E78" s="105"/>
      <c r="F78" s="105"/>
      <c r="G78" s="112"/>
      <c r="H78" s="507">
        <f t="shared" si="0"/>
        <v>0</v>
      </c>
      <c r="I78" s="508">
        <f t="shared" si="0"/>
        <v>0</v>
      </c>
      <c r="J78" s="508">
        <f t="shared" si="0"/>
        <v>0</v>
      </c>
      <c r="K78" s="354">
        <f t="shared" si="11"/>
      </c>
      <c r="L78" s="354">
        <f t="shared" si="12"/>
      </c>
      <c r="M78" s="355">
        <f t="shared" si="13"/>
      </c>
      <c r="N78" s="123">
        <f t="shared" si="14"/>
      </c>
      <c r="O78" s="534">
        <f>IF(N78="","",IF(OR('Raw FRM data'!S78&lt;3,'Raw FRM data'!S78&gt;200,N78&lt;2),"NOT VALID","ok"))</f>
      </c>
      <c r="P78" s="388">
        <f t="shared" si="15"/>
      </c>
      <c r="Q78" s="51">
        <f t="shared" si="16"/>
      </c>
      <c r="R78" s="477">
        <f t="shared" si="17"/>
      </c>
      <c r="S78" s="119"/>
    </row>
    <row r="79" spans="2:19" ht="12.75">
      <c r="B79" s="605"/>
      <c r="C79" s="488">
        <v>69</v>
      </c>
      <c r="D79" s="251">
        <f>IF(ISBLANK('Raw FRM data'!D79),"",'Raw FRM data'!D79)</f>
      </c>
      <c r="E79" s="105"/>
      <c r="F79" s="105"/>
      <c r="G79" s="112"/>
      <c r="H79" s="507">
        <f t="shared" si="0"/>
        <v>0</v>
      </c>
      <c r="I79" s="508">
        <f t="shared" si="0"/>
        <v>0</v>
      </c>
      <c r="J79" s="508">
        <f t="shared" si="0"/>
        <v>0</v>
      </c>
      <c r="K79" s="354">
        <f t="shared" si="11"/>
      </c>
      <c r="L79" s="354">
        <f t="shared" si="12"/>
      </c>
      <c r="M79" s="355">
        <f t="shared" si="13"/>
      </c>
      <c r="N79" s="123">
        <f t="shared" si="14"/>
      </c>
      <c r="O79" s="534">
        <f>IF(N79="","",IF(OR('Raw FRM data'!S79&lt;3,'Raw FRM data'!S79&gt;200,N79&lt;2),"NOT VALID","ok"))</f>
      </c>
      <c r="P79" s="388">
        <f t="shared" si="15"/>
      </c>
      <c r="Q79" s="51">
        <f t="shared" si="16"/>
      </c>
      <c r="R79" s="477">
        <f t="shared" si="17"/>
      </c>
      <c r="S79" s="119"/>
    </row>
    <row r="80" spans="2:19" ht="13.5" thickBot="1">
      <c r="B80" s="607"/>
      <c r="C80" s="490">
        <v>70</v>
      </c>
      <c r="D80" s="253">
        <f>IF(ISBLANK('Raw FRM data'!D80),"",'Raw FRM data'!D80)</f>
      </c>
      <c r="E80" s="126"/>
      <c r="F80" s="126"/>
      <c r="G80" s="127"/>
      <c r="H80" s="509">
        <f t="shared" si="0"/>
        <v>0</v>
      </c>
      <c r="I80" s="510">
        <f t="shared" si="0"/>
        <v>0</v>
      </c>
      <c r="J80" s="510">
        <f t="shared" si="0"/>
        <v>0</v>
      </c>
      <c r="K80" s="356">
        <f t="shared" si="11"/>
      </c>
      <c r="L80" s="356">
        <f t="shared" si="12"/>
      </c>
      <c r="M80" s="357">
        <f t="shared" si="13"/>
      </c>
      <c r="N80" s="125">
        <f t="shared" si="14"/>
      </c>
      <c r="O80" s="535">
        <f>IF(N80="","",IF(OR('Raw FRM data'!S80&lt;3,'Raw FRM data'!S80&gt;200,N80&lt;2),"NOT VALID","ok"))</f>
      </c>
      <c r="P80" s="401">
        <f t="shared" si="15"/>
      </c>
      <c r="Q80" s="128">
        <f t="shared" si="16"/>
      </c>
      <c r="R80" s="480">
        <f t="shared" si="17"/>
      </c>
      <c r="S80" s="120"/>
    </row>
    <row r="81" ht="14.25" thickBot="1" thickTop="1"/>
    <row r="82" spans="15:18" ht="13.5" thickBot="1">
      <c r="O82" s="88" t="s">
        <v>32</v>
      </c>
      <c r="P82" s="95" t="s">
        <v>33</v>
      </c>
      <c r="Q82" s="86" t="s">
        <v>13</v>
      </c>
      <c r="R82" s="87" t="s">
        <v>14</v>
      </c>
    </row>
    <row r="83" spans="4:18" ht="12.75">
      <c r="D83" s="47" t="s">
        <v>31</v>
      </c>
      <c r="E83" s="72">
        <f>COUNT(E11:E80)</f>
        <v>27</v>
      </c>
      <c r="F83" s="72">
        <f>COUNT(F11:F80)</f>
        <v>27</v>
      </c>
      <c r="G83" s="73">
        <f>COUNT(G11:G80)</f>
        <v>27</v>
      </c>
      <c r="N83" s="83" t="s">
        <v>31</v>
      </c>
      <c r="O83" s="72">
        <f>COUNTIF(O11:O80,"ok")</f>
        <v>26</v>
      </c>
      <c r="P83" s="96">
        <f>COUNT(P11:P80)</f>
        <v>27</v>
      </c>
      <c r="Q83" s="72">
        <f>COUNT(Q11:Q80)</f>
        <v>27</v>
      </c>
      <c r="R83" s="73">
        <f>COUNT(R11:R80)</f>
        <v>27</v>
      </c>
    </row>
    <row r="84" spans="4:18" ht="12.75">
      <c r="D84" s="48" t="s">
        <v>29</v>
      </c>
      <c r="E84" s="74">
        <f>MAX(E$11:E$80)</f>
        <v>48</v>
      </c>
      <c r="F84" s="74">
        <f>MAX(F$11:F$80)</f>
        <v>49.7</v>
      </c>
      <c r="G84" s="75">
        <f>MAX(G$11:G$80)</f>
        <v>51.5</v>
      </c>
      <c r="N84" s="85" t="s">
        <v>29</v>
      </c>
      <c r="O84" s="79"/>
      <c r="P84" s="97">
        <f>MAX(P$11:P$80)</f>
        <v>48.833333333333336</v>
      </c>
      <c r="Q84" s="74">
        <f>MAX(Q$11:Q$80)</f>
        <v>2.6159765544311293</v>
      </c>
      <c r="R84" s="80">
        <f>MAX(R$11:R$80)</f>
        <v>0.38974670880887285</v>
      </c>
    </row>
    <row r="85" spans="4:18" ht="12.75">
      <c r="D85" s="48" t="s">
        <v>30</v>
      </c>
      <c r="E85" s="74">
        <f>MIN(E$11:E$80)</f>
        <v>6.9</v>
      </c>
      <c r="F85" s="74">
        <f>MIN(F$11:F$80)</f>
        <v>3.2</v>
      </c>
      <c r="G85" s="75">
        <f>MIN(G$11:G$80)</f>
        <v>6.2</v>
      </c>
      <c r="N85" s="85" t="s">
        <v>30</v>
      </c>
      <c r="O85" s="79"/>
      <c r="P85" s="97">
        <f>MIN(P$11:P$80)</f>
        <v>5.800000000000001</v>
      </c>
      <c r="Q85" s="74">
        <f>MIN(Q$11:Q$80)</f>
        <v>0.4582575694956547</v>
      </c>
      <c r="R85" s="80">
        <f>MIN(R$11:R$80)</f>
        <v>0.018008006487987543</v>
      </c>
    </row>
    <row r="86" spans="4:18" ht="13.5" thickBot="1">
      <c r="D86" s="49" t="s">
        <v>12</v>
      </c>
      <c r="E86" s="76">
        <f>IF(ISERROR(AVERAGE(E11:E80)),"",AVERAGE(E11:E80))</f>
        <v>27.659259259259255</v>
      </c>
      <c r="F86" s="76">
        <f>IF(ISERROR(AVERAGE(F11:F80)),"",AVERAGE(F11:F80))</f>
        <v>28.01851851851852</v>
      </c>
      <c r="G86" s="77">
        <f>IF(ISERROR(AVERAGE(G11:G80)),"",AVERAGE(G11:G80))</f>
        <v>27.92962962962963</v>
      </c>
      <c r="N86" s="84" t="s">
        <v>12</v>
      </c>
      <c r="O86" s="81"/>
      <c r="P86" s="98">
        <f>IF(ISERROR(AVERAGE(P11:P80)),"",AVERAGE(P11:P80))</f>
        <v>27.86913580246914</v>
      </c>
      <c r="Q86" s="76">
        <f>IF(ISERROR(AVERAGE(Q11:Q80)),"",AVERAGE(Q11:Q80))</f>
        <v>1.654012974798279</v>
      </c>
      <c r="R86" s="82">
        <f>IF(ISERROR(AVERAGE(R11:R80)),"",AVERAGE(R11:R80))</f>
        <v>0.09033740171955704</v>
      </c>
    </row>
  </sheetData>
  <sheetProtection sheet="1" objects="1" scenarios="1" selectLockedCells="1"/>
  <mergeCells count="6">
    <mergeCell ref="B34:B56"/>
    <mergeCell ref="B57:B80"/>
    <mergeCell ref="B11:B33"/>
    <mergeCell ref="F5:P5"/>
    <mergeCell ref="F6:P6"/>
    <mergeCell ref="F7:P7"/>
  </mergeCells>
  <conditionalFormatting sqref="O11:O80">
    <cfRule type="cellIs" priority="1" dxfId="0" operator="equal" stopIfTrue="1">
      <formula>"NOT VALID"</formula>
    </cfRule>
  </conditionalFormatting>
  <conditionalFormatting sqref="P11:P80">
    <cfRule type="expression" priority="2" dxfId="0" stopIfTrue="1">
      <formula>$O11="NOT VALID"</formula>
    </cfRule>
  </conditionalFormatting>
  <conditionalFormatting sqref="Q11:Q80">
    <cfRule type="expression" priority="3" dxfId="0" stopIfTrue="1">
      <formula>O11="NOT VALID"</formula>
    </cfRule>
  </conditionalFormatting>
  <conditionalFormatting sqref="R11:R80">
    <cfRule type="expression" priority="4" dxfId="0" stopIfTrue="1">
      <formula>O11="NOT VALID"</formula>
    </cfRule>
  </conditionalFormatting>
  <printOptions/>
  <pageMargins left="0.75" right="0.75" top="1" bottom="1" header="0.5" footer="0.5"/>
  <pageSetup fitToHeight="1" fitToWidth="1" horizontalDpi="600" verticalDpi="600" orientation="portrait" scale="58"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T100"/>
  <sheetViews>
    <sheetView workbookViewId="0" topLeftCell="A1">
      <pane ySplit="8" topLeftCell="BM9" activePane="bottomLeft" state="frozen"/>
      <selection pane="topLeft" activeCell="A1" sqref="A1"/>
      <selection pane="bottomLeft" activeCell="I1" sqref="I1"/>
    </sheetView>
  </sheetViews>
  <sheetFormatPr defaultColWidth="9.140625" defaultRowHeight="12.75"/>
  <cols>
    <col min="1" max="1" width="2.140625" style="0" customWidth="1"/>
    <col min="2" max="2" width="3.57421875" style="0" customWidth="1"/>
    <col min="3" max="3" width="5.00390625" style="0" customWidth="1"/>
    <col min="4" max="4" width="8.140625" style="0" customWidth="1"/>
    <col min="5" max="6" width="5.421875" style="0" customWidth="1"/>
    <col min="7" max="7" width="10.421875" style="0" customWidth="1"/>
    <col min="8" max="8" width="10.421875" style="0" hidden="1" customWidth="1"/>
    <col min="10" max="10" width="10.7109375" style="0" customWidth="1"/>
    <col min="11" max="11" width="11.140625" style="0" customWidth="1"/>
    <col min="12" max="12" width="11.00390625" style="0" customWidth="1"/>
    <col min="13" max="13" width="9.8515625" style="0" customWidth="1"/>
    <col min="14" max="14" width="9.8515625" style="0" hidden="1" customWidth="1"/>
    <col min="15" max="15" width="11.8515625" style="0" customWidth="1"/>
    <col min="16" max="16" width="3.140625" style="0" customWidth="1"/>
    <col min="17" max="17" width="3.28125" style="0" customWidth="1"/>
    <col min="18" max="18" width="1.421875" style="0" customWidth="1"/>
    <col min="19" max="19" width="13.7109375" style="0" customWidth="1"/>
    <col min="20" max="20" width="13.00390625" style="0" customWidth="1"/>
  </cols>
  <sheetData>
    <row r="1" spans="9:15" ht="22.5" customHeight="1">
      <c r="I1" s="32" t="s">
        <v>68</v>
      </c>
      <c r="O1" s="451">
        <f>IF(OR(ISBLANK(Title!$G$17),ISBLANK(Title!$G$18),ISBLANK(Title!$G$23)),"Note: Necessary information is missing from Title sheet.","")</f>
      </c>
    </row>
    <row r="2" ht="13.5" thickBot="1"/>
    <row r="3" spans="4:20" ht="12.75">
      <c r="D3" s="9" t="s">
        <v>2</v>
      </c>
      <c r="E3" s="10"/>
      <c r="F3" s="10"/>
      <c r="G3" s="29"/>
      <c r="H3" s="10"/>
      <c r="I3" s="625" t="str">
        <f>'Raw FRM data'!F5</f>
        <v>Example</v>
      </c>
      <c r="J3" s="626"/>
      <c r="K3" s="626"/>
      <c r="L3" s="626"/>
      <c r="M3" s="626"/>
      <c r="N3" s="626"/>
      <c r="O3" s="626"/>
      <c r="P3" s="626"/>
      <c r="Q3" s="627"/>
      <c r="R3" s="358"/>
      <c r="S3" s="254" t="s">
        <v>127</v>
      </c>
      <c r="T3" s="257"/>
    </row>
    <row r="4" spans="4:20" ht="12.75">
      <c r="D4" s="28" t="s">
        <v>7</v>
      </c>
      <c r="E4" s="132"/>
      <c r="F4" s="132"/>
      <c r="G4" s="30"/>
      <c r="H4" s="132"/>
      <c r="I4" s="611" t="str">
        <f>'Raw FRM data'!F6</f>
        <v>ACME Model XYZ123 Air monitor - PM2.5 Class III</v>
      </c>
      <c r="J4" s="612"/>
      <c r="K4" s="612"/>
      <c r="L4" s="612"/>
      <c r="M4" s="612"/>
      <c r="N4" s="612"/>
      <c r="O4" s="612"/>
      <c r="P4" s="612"/>
      <c r="Q4" s="612"/>
      <c r="R4" s="187"/>
      <c r="S4" s="262" t="s">
        <v>95</v>
      </c>
      <c r="T4" s="263"/>
    </row>
    <row r="5" spans="4:20" ht="13.5" thickBot="1">
      <c r="D5" s="14" t="s">
        <v>6</v>
      </c>
      <c r="E5" s="15"/>
      <c r="F5" s="15"/>
      <c r="G5" s="31"/>
      <c r="H5" s="15"/>
      <c r="I5" s="617" t="str">
        <f>'Raw FRM data'!F7</f>
        <v>St. Louis test site  -  (Site location  C )</v>
      </c>
      <c r="J5" s="619"/>
      <c r="K5" s="619"/>
      <c r="L5" s="619"/>
      <c r="M5" s="619"/>
      <c r="N5" s="619"/>
      <c r="O5" s="619"/>
      <c r="P5" s="619"/>
      <c r="Q5" s="619"/>
      <c r="R5" s="187"/>
      <c r="S5" s="262" t="s">
        <v>96</v>
      </c>
      <c r="T5" s="263"/>
    </row>
    <row r="6" spans="19:20" ht="13.5" thickBot="1">
      <c r="S6" s="262" t="s">
        <v>97</v>
      </c>
      <c r="T6" s="263"/>
    </row>
    <row r="7" spans="2:20" ht="15" thickTop="1">
      <c r="B7" s="33"/>
      <c r="C7" s="34" t="s">
        <v>17</v>
      </c>
      <c r="D7" s="35" t="s">
        <v>27</v>
      </c>
      <c r="E7" s="38" t="s">
        <v>64</v>
      </c>
      <c r="F7" s="36"/>
      <c r="G7" s="313" t="s">
        <v>50</v>
      </c>
      <c r="H7" s="558"/>
      <c r="I7" s="36" t="s">
        <v>51</v>
      </c>
      <c r="J7" s="38"/>
      <c r="K7" s="143" t="s">
        <v>52</v>
      </c>
      <c r="L7" s="38"/>
      <c r="M7" s="277" t="s">
        <v>53</v>
      </c>
      <c r="N7" s="538"/>
      <c r="O7" s="278"/>
      <c r="S7" s="264" t="s">
        <v>93</v>
      </c>
      <c r="T7" s="263"/>
    </row>
    <row r="8" spans="2:20" ht="13.5" thickBot="1">
      <c r="B8" s="40"/>
      <c r="C8" s="41" t="s">
        <v>16</v>
      </c>
      <c r="D8" s="42" t="s">
        <v>161</v>
      </c>
      <c r="E8" s="484" t="s">
        <v>48</v>
      </c>
      <c r="F8" s="485" t="s">
        <v>65</v>
      </c>
      <c r="G8" s="314" t="s">
        <v>162</v>
      </c>
      <c r="H8" s="559" t="s">
        <v>48</v>
      </c>
      <c r="I8" s="43" t="s">
        <v>48</v>
      </c>
      <c r="J8" s="487" t="s">
        <v>49</v>
      </c>
      <c r="K8" s="140" t="s">
        <v>48</v>
      </c>
      <c r="L8" s="487" t="s">
        <v>49</v>
      </c>
      <c r="M8" s="279" t="s">
        <v>48</v>
      </c>
      <c r="N8" s="539" t="s">
        <v>49</v>
      </c>
      <c r="O8" s="486" t="s">
        <v>49</v>
      </c>
      <c r="S8" s="265" t="s">
        <v>94</v>
      </c>
      <c r="T8" s="261"/>
    </row>
    <row r="9" spans="2:15" ht="12.75">
      <c r="B9" s="602" t="s">
        <v>46</v>
      </c>
      <c r="C9" s="72">
        <v>1</v>
      </c>
      <c r="D9" s="133">
        <f>IF(ISBLANK('Raw FRM data'!D11),"",'Raw FRM data'!D11)</f>
        <v>39116</v>
      </c>
      <c r="E9" s="196">
        <f>IF(G9="ok",'Raw FRM data'!N11,"")</f>
        <v>3</v>
      </c>
      <c r="F9" s="196">
        <f>IF(G9="ok",'Raw candidate data'!N11,"")</f>
        <v>3</v>
      </c>
      <c r="G9" s="500" t="str">
        <f>IF(AND('Raw FRM data'!O11="",'Raw candidate data'!O11=""),"",IF(AND('Raw FRM data'!O11="ok",'Raw candidate data'!O11="ok"),"ok","NOT VALID"))</f>
        <v>ok</v>
      </c>
      <c r="H9" s="562">
        <f>IF(G9="ok",'Raw FRM data'!S11)</f>
        <v>43.79999999999999</v>
      </c>
      <c r="I9" s="554">
        <f>IF(G9="ok",'Raw FRM data'!S11,"")</f>
        <v>43.79999999999999</v>
      </c>
      <c r="J9" s="141">
        <f>IF(G9="ok",'Raw candidate data'!P11,"")</f>
        <v>43.13333333333333</v>
      </c>
      <c r="K9" s="144">
        <f>IF($G9="ok",'Raw FRM data'!T11,"")</f>
        <v>0.45825756949611984</v>
      </c>
      <c r="L9" s="138">
        <f>IF($G9="ok",'Raw candidate data'!Q11,"")</f>
        <v>0.776745346515196</v>
      </c>
      <c r="M9" s="389">
        <f>IF($G9="ok",'Raw FRM data'!U11,"")</f>
        <v>0.010462501586669405</v>
      </c>
      <c r="N9" s="540">
        <f>IF($G9="ok",'Raw candidate data'!R11)</f>
        <v>0.018008006487987543</v>
      </c>
      <c r="O9" s="409">
        <f>IF($G9="ok",'Raw candidate data'!R11,"")</f>
        <v>0.018008006487987543</v>
      </c>
    </row>
    <row r="10" spans="2:15" ht="12.75">
      <c r="B10" s="603"/>
      <c r="C10" s="488">
        <v>2</v>
      </c>
      <c r="D10" s="134">
        <f>IF(ISBLANK('Raw FRM data'!D12),"",'Raw FRM data'!D12)</f>
        <v>39117</v>
      </c>
      <c r="E10" s="196">
        <f>IF(G10="ok",'Raw FRM data'!N12,"")</f>
        <v>3</v>
      </c>
      <c r="F10" s="196">
        <f>IF(G10="ok",'Raw candidate data'!N12,"")</f>
        <v>3</v>
      </c>
      <c r="G10" s="500" t="str">
        <f>IF(AND('Raw FRM data'!O12="",'Raw candidate data'!O12=""),"",IF(AND('Raw FRM data'!O12="ok",'Raw candidate data'!O12="ok"),"ok","NOT VALID"))</f>
        <v>ok</v>
      </c>
      <c r="H10" s="563">
        <f>IF(G10="ok",'Raw FRM data'!S12)</f>
        <v>11.6</v>
      </c>
      <c r="I10" s="555">
        <f>IF(G10="ok",'Raw FRM data'!S12,"")</f>
        <v>11.6</v>
      </c>
      <c r="J10" s="142">
        <f>IF(G10="ok",'Raw candidate data'!P12,"")</f>
        <v>11.166666666666666</v>
      </c>
      <c r="K10" s="145">
        <f>IF($G10="ok",'Raw FRM data'!T12,"")</f>
        <v>0.9643650760993285</v>
      </c>
      <c r="L10" s="139">
        <f>IF($G10="ok",'Raw candidate data'!Q12,"")</f>
        <v>1.9655363983740857</v>
      </c>
      <c r="M10" s="391">
        <f>IF($G10="ok",'Raw FRM data'!U12,"")</f>
        <v>0.08313492035339039</v>
      </c>
      <c r="N10" s="541">
        <f>IF($G10="ok",'Raw candidate data'!R12)</f>
        <v>0.1760181849290226</v>
      </c>
      <c r="O10" s="410">
        <f>IF($G10="ok",'Raw candidate data'!R12,"")</f>
        <v>0.1760181849290226</v>
      </c>
    </row>
    <row r="11" spans="2:20" ht="12.75">
      <c r="B11" s="603"/>
      <c r="C11" s="488">
        <v>3</v>
      </c>
      <c r="D11" s="134">
        <f>IF(ISBLANK('Raw FRM data'!D13),"",'Raw FRM data'!D13)</f>
        <v>39118</v>
      </c>
      <c r="E11" s="196">
        <f>IF(G11="ok",'Raw FRM data'!N13,"")</f>
        <v>3</v>
      </c>
      <c r="F11" s="196">
        <f>IF(G11="ok",'Raw candidate data'!N13,"")</f>
        <v>3</v>
      </c>
      <c r="G11" s="500" t="str">
        <f>IF(AND('Raw FRM data'!O13="",'Raw candidate data'!O13=""),"",IF(AND('Raw FRM data'!O13="ok",'Raw candidate data'!O13="ok"),"ok","NOT VALID"))</f>
        <v>ok</v>
      </c>
      <c r="H11" s="563">
        <f>IF(G11="ok",'Raw FRM data'!S13)</f>
        <v>36.43333333333333</v>
      </c>
      <c r="I11" s="555">
        <f>IF(G11="ok",'Raw FRM data'!S13,"")</f>
        <v>36.43333333333333</v>
      </c>
      <c r="J11" s="142">
        <f>IF(G11="ok",'Raw candidate data'!P13,"")</f>
        <v>37.1</v>
      </c>
      <c r="K11" s="145">
        <f>IF($G11="ok",'Raw FRM data'!T13,"")</f>
        <v>0.37859388972044666</v>
      </c>
      <c r="L11" s="139">
        <f>IF($G11="ok",'Raw candidate data'!Q13,"")</f>
        <v>0.8717797887082599</v>
      </c>
      <c r="M11" s="390">
        <f>IF($G11="ok",'Raw FRM data'!U13,"")</f>
        <v>0.010391415088392865</v>
      </c>
      <c r="N11" s="542">
        <f>IF($G11="ok",'Raw candidate data'!R13)</f>
        <v>0.02349810751235202</v>
      </c>
      <c r="O11" s="424">
        <f>IF($G11="ok",'Raw candidate data'!R13,"")</f>
        <v>0.02349810751235202</v>
      </c>
      <c r="T11" s="161"/>
    </row>
    <row r="12" spans="2:20" ht="12.75">
      <c r="B12" s="603"/>
      <c r="C12" s="488">
        <v>4</v>
      </c>
      <c r="D12" s="134">
        <f>IF(ISBLANK('Raw FRM data'!D14),"",'Raw FRM data'!D14)</f>
        <v>39119</v>
      </c>
      <c r="E12" s="196">
        <f>IF(G12="ok",'Raw FRM data'!N14,"")</f>
        <v>3</v>
      </c>
      <c r="F12" s="196">
        <f>IF(G12="ok",'Raw candidate data'!N14,"")</f>
        <v>3</v>
      </c>
      <c r="G12" s="500" t="str">
        <f>IF(AND('Raw FRM data'!O14="",'Raw candidate data'!O14=""),"",IF(AND('Raw FRM data'!O14="ok",'Raw candidate data'!O14="ok"),"ok","NOT VALID"))</f>
        <v>ok</v>
      </c>
      <c r="H12" s="563">
        <f>IF(G12="ok",'Raw FRM data'!S14)</f>
        <v>40.63333333333333</v>
      </c>
      <c r="I12" s="555">
        <f>IF(G12="ok",'Raw FRM data'!S14,"")</f>
        <v>40.63333333333333</v>
      </c>
      <c r="J12" s="142">
        <f>IF(G12="ok",'Raw candidate data'!P14,"")</f>
        <v>42</v>
      </c>
      <c r="K12" s="145">
        <f>IF($G12="ok",'Raw FRM data'!T14,"")</f>
        <v>0.9073771725877099</v>
      </c>
      <c r="L12" s="139">
        <f>IF($G12="ok",'Raw candidate data'!Q14,"")</f>
        <v>2.1071307505705605</v>
      </c>
      <c r="M12" s="390">
        <f>IF($G12="ok",'Raw FRM data'!U14,"")</f>
        <v>0.022330857405768085</v>
      </c>
      <c r="N12" s="542">
        <f>IF($G12="ok",'Raw candidate data'!R14)</f>
        <v>0.05016977977548954</v>
      </c>
      <c r="O12" s="424">
        <f>IF($G12="ok",'Raw candidate data'!R14,"")</f>
        <v>0.05016977977548954</v>
      </c>
      <c r="T12" s="161"/>
    </row>
    <row r="13" spans="2:15" ht="12.75">
      <c r="B13" s="603"/>
      <c r="C13" s="488">
        <v>5</v>
      </c>
      <c r="D13" s="134">
        <f>IF(ISBLANK('Raw FRM data'!D15),"",'Raw FRM data'!D15)</f>
        <v>39120</v>
      </c>
      <c r="E13" s="196">
        <f>IF(G13="ok",'Raw FRM data'!N15,"")</f>
        <v>3</v>
      </c>
      <c r="F13" s="196">
        <f>IF(G13="ok",'Raw candidate data'!N15,"")</f>
        <v>3</v>
      </c>
      <c r="G13" s="500" t="str">
        <f>IF(AND('Raw FRM data'!O15="",'Raw candidate data'!O15=""),"",IF(AND('Raw FRM data'!O15="ok",'Raw candidate data'!O15="ok"),"ok","NOT VALID"))</f>
        <v>ok</v>
      </c>
      <c r="H13" s="563">
        <f>IF(G13="ok",'Raw FRM data'!S15)</f>
        <v>16.433333333333334</v>
      </c>
      <c r="I13" s="555">
        <f>IF(G13="ok",'Raw FRM data'!S15,"")</f>
        <v>16.433333333333334</v>
      </c>
      <c r="J13" s="142">
        <f>IF(G13="ok",'Raw candidate data'!P15,"")</f>
        <v>19.533333333333335</v>
      </c>
      <c r="K13" s="145">
        <f>IF($G13="ok",'Raw FRM data'!T15,"")</f>
        <v>1.0214368964029794</v>
      </c>
      <c r="L13" s="139">
        <f>IF($G13="ok",'Raw candidate data'!Q15,"")</f>
        <v>1.2503332889007137</v>
      </c>
      <c r="M13" s="390">
        <f>IF($G13="ok",'Raw FRM data'!U15,"")</f>
        <v>0.06215640343222999</v>
      </c>
      <c r="N13" s="542">
        <f>IF($G13="ok",'Raw candidate data'!R15)</f>
        <v>0.06401023663314233</v>
      </c>
      <c r="O13" s="424">
        <f>IF($G13="ok",'Raw candidate data'!R15,"")</f>
        <v>0.06401023663314233</v>
      </c>
    </row>
    <row r="14" spans="2:15" ht="12.75">
      <c r="B14" s="603"/>
      <c r="C14" s="488">
        <v>6</v>
      </c>
      <c r="D14" s="134">
        <f>IF(ISBLANK('Raw FRM data'!D16),"",'Raw FRM data'!D16)</f>
        <v>39121</v>
      </c>
      <c r="E14" s="196">
        <f>IF(G14="ok",'Raw FRM data'!N16,"")</f>
        <v>3</v>
      </c>
      <c r="F14" s="196">
        <f>IF(G14="ok",'Raw candidate data'!N16,"")</f>
        <v>3</v>
      </c>
      <c r="G14" s="500" t="str">
        <f>IF(AND('Raw FRM data'!O16="",'Raw candidate data'!O16=""),"",IF(AND('Raw FRM data'!O16="ok",'Raw candidate data'!O16="ok"),"ok","NOT VALID"))</f>
        <v>ok</v>
      </c>
      <c r="H14" s="563">
        <f>IF(G14="ok",'Raw FRM data'!S16)</f>
        <v>25.200000000000003</v>
      </c>
      <c r="I14" s="555">
        <f>IF(G14="ok",'Raw FRM data'!S16,"")</f>
        <v>25.200000000000003</v>
      </c>
      <c r="J14" s="142">
        <f>IF(G14="ok",'Raw candidate data'!P16,"")</f>
        <v>24.2</v>
      </c>
      <c r="K14" s="145">
        <f>IF($G14="ok",'Raw FRM data'!T16,"")</f>
        <v>0.4582575694953756</v>
      </c>
      <c r="L14" s="139">
        <f>IF($G14="ok",'Raw candidate data'!Q16,"")</f>
        <v>2.424871130596474</v>
      </c>
      <c r="M14" s="390">
        <f>IF($G14="ok",'Raw FRM data'!U16,"")</f>
        <v>0.018184824186324427</v>
      </c>
      <c r="N14" s="542">
        <f>IF($G14="ok",'Raw candidate data'!R16)</f>
        <v>0.10020128638828406</v>
      </c>
      <c r="O14" s="424">
        <f>IF($G14="ok",'Raw candidate data'!R16,"")</f>
        <v>0.10020128638828406</v>
      </c>
    </row>
    <row r="15" spans="2:15" ht="12.75">
      <c r="B15" s="603"/>
      <c r="C15" s="488">
        <v>7</v>
      </c>
      <c r="D15" s="134">
        <f>IF(ISBLANK('Raw FRM data'!D17),"",'Raw FRM data'!D17)</f>
        <v>39122</v>
      </c>
      <c r="E15" s="196">
        <f>IF(G15="ok",'Raw FRM data'!N17,"")</f>
        <v>3</v>
      </c>
      <c r="F15" s="196">
        <f>IF(G15="ok",'Raw candidate data'!N17,"")</f>
        <v>3</v>
      </c>
      <c r="G15" s="500" t="str">
        <f>IF(AND('Raw FRM data'!O17="",'Raw candidate data'!O17=""),"",IF(AND('Raw FRM data'!O17="ok",'Raw candidate data'!O17="ok"),"ok","NOT VALID"))</f>
        <v>ok</v>
      </c>
      <c r="H15" s="563">
        <f>IF(G15="ok",'Raw FRM data'!S17)</f>
        <v>48.5</v>
      </c>
      <c r="I15" s="555">
        <f>IF(G15="ok",'Raw FRM data'!S17,"")</f>
        <v>48.5</v>
      </c>
      <c r="J15" s="142">
        <f>IF(G15="ok",'Raw candidate data'!P17,"")</f>
        <v>46.56666666666666</v>
      </c>
      <c r="K15" s="145">
        <f>IF($G15="ok",'Raw FRM data'!T17,"")</f>
        <v>1.0440306508911248</v>
      </c>
      <c r="L15" s="139">
        <f>IF($G15="ok",'Raw candidate data'!Q17,"")</f>
        <v>1.8502252115173816</v>
      </c>
      <c r="M15" s="390">
        <f>IF($G15="ok",'Raw FRM data'!U17,"")</f>
        <v>0.021526405173012884</v>
      </c>
      <c r="N15" s="542">
        <f>IF($G15="ok",'Raw candidate data'!R17)</f>
        <v>0.03973282487152573</v>
      </c>
      <c r="O15" s="424">
        <f>IF($G15="ok",'Raw candidate data'!R17,"")</f>
        <v>0.03973282487152573</v>
      </c>
    </row>
    <row r="16" spans="2:15" ht="12.75">
      <c r="B16" s="603"/>
      <c r="C16" s="488">
        <v>8</v>
      </c>
      <c r="D16" s="134">
        <f>IF(ISBLANK('Raw FRM data'!D18),"",'Raw FRM data'!D18)</f>
        <v>39123</v>
      </c>
      <c r="E16" s="196">
        <f>IF(G16="ok",'Raw FRM data'!N18,"")</f>
        <v>3</v>
      </c>
      <c r="F16" s="196">
        <f>IF(G16="ok",'Raw candidate data'!N18,"")</f>
        <v>3</v>
      </c>
      <c r="G16" s="500" t="str">
        <f>IF(AND('Raw FRM data'!O18="",'Raw candidate data'!O18=""),"",IF(AND('Raw FRM data'!O18="ok",'Raw candidate data'!O18="ok"),"ok","NOT VALID"))</f>
        <v>ok</v>
      </c>
      <c r="H16" s="563">
        <f>IF(G16="ok",'Raw FRM data'!S18)</f>
        <v>32.56666666666666</v>
      </c>
      <c r="I16" s="555">
        <f>IF(G16="ok",'Raw FRM data'!S18,"")</f>
        <v>32.56666666666666</v>
      </c>
      <c r="J16" s="142">
        <f>IF(G16="ok",'Raw candidate data'!P18,"")</f>
        <v>34.63333333333333</v>
      </c>
      <c r="K16" s="145">
        <f>IF($G16="ok",'Raw FRM data'!T18,"")</f>
        <v>1.0408329997332484</v>
      </c>
      <c r="L16" s="139">
        <f>IF($G16="ok",'Raw candidate data'!Q18,"")</f>
        <v>0.9504384952921435</v>
      </c>
      <c r="M16" s="390">
        <f>IF($G16="ok",'Raw FRM data'!U18,"")</f>
        <v>0.031960071639710805</v>
      </c>
      <c r="N16" s="542">
        <f>IF($G16="ok",'Raw candidate data'!R18)</f>
        <v>0.027442882443469013</v>
      </c>
      <c r="O16" s="424">
        <f>IF($G16="ok",'Raw candidate data'!R18,"")</f>
        <v>0.027442882443469013</v>
      </c>
    </row>
    <row r="17" spans="2:15" ht="12.75">
      <c r="B17" s="603"/>
      <c r="C17" s="488">
        <v>9</v>
      </c>
      <c r="D17" s="134">
        <f>IF(ISBLANK('Raw FRM data'!D19),"",'Raw FRM data'!D19)</f>
        <v>39124</v>
      </c>
      <c r="E17" s="196">
        <f>IF(G17="ok",'Raw FRM data'!N19,"")</f>
        <v>3</v>
      </c>
      <c r="F17" s="196">
        <f>IF(G17="ok",'Raw candidate data'!N19,"")</f>
        <v>3</v>
      </c>
      <c r="G17" s="500" t="str">
        <f>IF(AND('Raw FRM data'!O19="",'Raw candidate data'!O19=""),"",IF(AND('Raw FRM data'!O19="ok",'Raw candidate data'!O19="ok"),"ok","NOT VALID"))</f>
        <v>ok</v>
      </c>
      <c r="H17" s="563">
        <f>IF(G17="ok",'Raw FRM data'!S19)</f>
        <v>12.366666666666667</v>
      </c>
      <c r="I17" s="555">
        <f>IF(G17="ok",'Raw FRM data'!S19,"")</f>
        <v>12.366666666666667</v>
      </c>
      <c r="J17" s="142">
        <f>IF(G17="ok",'Raw candidate data'!P19,"")</f>
        <v>11.433333333333332</v>
      </c>
      <c r="K17" s="145">
        <f>IF($G17="ok",'Raw FRM data'!T19,"")</f>
        <v>0.9237604307033965</v>
      </c>
      <c r="L17" s="139">
        <f>IF($G17="ok",'Raw candidate data'!Q19,"")</f>
        <v>2.6159765544311293</v>
      </c>
      <c r="M17" s="390">
        <f>IF($G17="ok",'Raw FRM data'!U19,"")</f>
        <v>0.07469760895175713</v>
      </c>
      <c r="N17" s="542">
        <f>IF($G17="ok",'Raw candidate data'!R19)</f>
        <v>0.22880261409018626</v>
      </c>
      <c r="O17" s="424">
        <f>IF($G17="ok",'Raw candidate data'!R19,"")</f>
        <v>0.22880261409018626</v>
      </c>
    </row>
    <row r="18" spans="2:15" ht="12.75">
      <c r="B18" s="603"/>
      <c r="C18" s="488">
        <v>10</v>
      </c>
      <c r="D18" s="134">
        <f>IF(ISBLANK('Raw FRM data'!D20),"",'Raw FRM data'!D20)</f>
        <v>39125</v>
      </c>
      <c r="E18" s="196">
        <f>IF(G18="ok",'Raw FRM data'!N20,"")</f>
        <v>3</v>
      </c>
      <c r="F18" s="196">
        <f>IF(G18="ok",'Raw candidate data'!N20,"")</f>
        <v>3</v>
      </c>
      <c r="G18" s="500" t="str">
        <f>IF(AND('Raw FRM data'!O20="",'Raw candidate data'!O20=""),"",IF(AND('Raw FRM data'!O20="ok",'Raw candidate data'!O20="ok"),"ok","NOT VALID"))</f>
        <v>ok</v>
      </c>
      <c r="H18" s="563">
        <f>IF(G18="ok",'Raw FRM data'!S20)</f>
        <v>37.73333333333333</v>
      </c>
      <c r="I18" s="555">
        <f>IF(G18="ok",'Raw FRM data'!S20,"")</f>
        <v>37.73333333333333</v>
      </c>
      <c r="J18" s="142">
        <f>IF(G18="ok",'Raw candidate data'!P20,"")</f>
        <v>36.766666666666666</v>
      </c>
      <c r="K18" s="145">
        <f>IF($G18="ok",'Raw FRM data'!T20,"")</f>
        <v>1.0408329997331391</v>
      </c>
      <c r="L18" s="139">
        <f>IF($G18="ok",'Raw candidate data'!Q20,"")</f>
        <v>0.901849950564547</v>
      </c>
      <c r="M18" s="390">
        <f>IF($G18="ok",'Raw FRM data'!U20,"")</f>
        <v>0.027583913420489558</v>
      </c>
      <c r="N18" s="542">
        <f>IF($G18="ok",'Raw candidate data'!R20)</f>
        <v>0.024529010441465465</v>
      </c>
      <c r="O18" s="424">
        <f>IF($G18="ok",'Raw candidate data'!R20,"")</f>
        <v>0.024529010441465465</v>
      </c>
    </row>
    <row r="19" spans="2:15" ht="12.75">
      <c r="B19" s="603"/>
      <c r="C19" s="488">
        <v>11</v>
      </c>
      <c r="D19" s="134">
        <f>IF(ISBLANK('Raw FRM data'!D21),"",'Raw FRM data'!D21)</f>
        <v>39126</v>
      </c>
      <c r="E19" s="196">
        <f>IF(G19="ok",'Raw FRM data'!N21,"")</f>
        <v>3</v>
      </c>
      <c r="F19" s="196">
        <f>IF(G19="ok",'Raw candidate data'!N21,"")</f>
        <v>3</v>
      </c>
      <c r="G19" s="500" t="str">
        <f>IF(AND('Raw FRM data'!O21="",'Raw candidate data'!O21=""),"",IF(AND('Raw FRM data'!O21="ok",'Raw candidate data'!O21="ok"),"ok","NOT VALID"))</f>
        <v>ok</v>
      </c>
      <c r="H19" s="563">
        <f>IF(G19="ok",'Raw FRM data'!S21)</f>
        <v>8.966666666666667</v>
      </c>
      <c r="I19" s="555">
        <f>IF(G19="ok",'Raw FRM data'!S21,"")</f>
        <v>8.966666666666667</v>
      </c>
      <c r="J19" s="142">
        <f>IF(G19="ok",'Raw candidate data'!P21,"")</f>
        <v>7.8999999999999995</v>
      </c>
      <c r="K19" s="145">
        <f>IF($G19="ok",'Raw FRM data'!T21,"")</f>
        <v>0.6110100926607915</v>
      </c>
      <c r="L19" s="139">
        <f>IF($G19="ok",'Raw candidate data'!Q21,"")</f>
        <v>1.7521415467935213</v>
      </c>
      <c r="M19" s="390">
        <f>IF($G19="ok",'Raw FRM data'!U21,"")</f>
        <v>0.0681423895160734</v>
      </c>
      <c r="N19" s="542">
        <f>IF($G19="ok",'Raw candidate data'!R21)</f>
        <v>0.2217900692143698</v>
      </c>
      <c r="O19" s="424">
        <f>IF($G19="ok",'Raw candidate data'!R21,"")</f>
        <v>0.2217900692143698</v>
      </c>
    </row>
    <row r="20" spans="2:15" ht="12.75">
      <c r="B20" s="603"/>
      <c r="C20" s="488">
        <v>12</v>
      </c>
      <c r="D20" s="134">
        <f>IF(ISBLANK('Raw FRM data'!D22),"",'Raw FRM data'!D22)</f>
        <v>39127</v>
      </c>
      <c r="E20" s="196">
        <f>IF(G20="ok",'Raw FRM data'!N22,"")</f>
      </c>
      <c r="F20" s="196">
        <f>IF(G20="ok",'Raw candidate data'!N22,"")</f>
      </c>
      <c r="G20" s="500" t="str">
        <f>IF(AND('Raw FRM data'!O22="",'Raw candidate data'!O22=""),"",IF(AND('Raw FRM data'!O22="ok",'Raw candidate data'!O22="ok"),"ok","NOT VALID"))</f>
        <v>NOT VALID</v>
      </c>
      <c r="H20" s="563" t="b">
        <f>IF(G20="ok",'Raw FRM data'!S22)</f>
        <v>0</v>
      </c>
      <c r="I20" s="555">
        <f>IF(G20="ok",'Raw FRM data'!S22,"")</f>
      </c>
      <c r="J20" s="142">
        <f>IF(G20="ok",'Raw candidate data'!P22,"")</f>
      </c>
      <c r="K20" s="145">
        <f>IF($G20="ok",'Raw FRM data'!T22,"")</f>
      </c>
      <c r="L20" s="139">
        <f>IF($G20="ok",'Raw candidate data'!Q22,"")</f>
      </c>
      <c r="M20" s="390">
        <f>IF($G20="ok",'Raw FRM data'!U22,"")</f>
      </c>
      <c r="N20" s="542" t="b">
        <f>IF($G20="ok",'Raw candidate data'!R22)</f>
        <v>0</v>
      </c>
      <c r="O20" s="424">
        <f>IF($G20="ok",'Raw candidate data'!R22,"")</f>
      </c>
    </row>
    <row r="21" spans="2:15" ht="12.75">
      <c r="B21" s="603"/>
      <c r="C21" s="488">
        <v>13</v>
      </c>
      <c r="D21" s="134">
        <f>IF(ISBLANK('Raw FRM data'!D23),"",'Raw FRM data'!D23)</f>
        <v>39128</v>
      </c>
      <c r="E21" s="196">
        <f>IF(G21="ok",'Raw FRM data'!N23,"")</f>
        <v>3</v>
      </c>
      <c r="F21" s="196">
        <f>IF(G21="ok",'Raw candidate data'!N23,"")</f>
        <v>3</v>
      </c>
      <c r="G21" s="500" t="str">
        <f>IF(AND('Raw FRM data'!O23="",'Raw candidate data'!O23=""),"",IF(AND('Raw FRM data'!O23="ok",'Raw candidate data'!O23="ok"),"ok","NOT VALID"))</f>
        <v>ok</v>
      </c>
      <c r="H21" s="563">
        <f>IF(G21="ok",'Raw FRM data'!S23)</f>
        <v>30.233333333333334</v>
      </c>
      <c r="I21" s="555">
        <f>IF(G21="ok",'Raw FRM data'!S23,"")</f>
        <v>30.233333333333334</v>
      </c>
      <c r="J21" s="142">
        <f>IF(G21="ok",'Raw candidate data'!P23,"")</f>
        <v>30.96666666666667</v>
      </c>
      <c r="K21" s="145">
        <f>IF($G21="ok",'Raw FRM data'!T23,"")</f>
        <v>1.0692676621563018</v>
      </c>
      <c r="L21" s="139">
        <f>IF($G21="ok",'Raw candidate data'!Q23,"")</f>
        <v>1.761628034896417</v>
      </c>
      <c r="M21" s="390">
        <f>IF($G21="ok",'Raw FRM data'!U23,"")</f>
        <v>0.03536717735908385</v>
      </c>
      <c r="N21" s="542">
        <f>IF($G21="ok",'Raw candidate data'!R23)</f>
        <v>0.05688788056716094</v>
      </c>
      <c r="O21" s="424">
        <f>IF($G21="ok",'Raw candidate data'!R23,"")</f>
        <v>0.05688788056716094</v>
      </c>
    </row>
    <row r="22" spans="2:15" ht="12.75">
      <c r="B22" s="603"/>
      <c r="C22" s="488">
        <v>14</v>
      </c>
      <c r="D22" s="134">
        <f>IF(ISBLANK('Raw FRM data'!D24),"",'Raw FRM data'!D24)</f>
        <v>39129</v>
      </c>
      <c r="E22" s="196">
        <f>IF(G22="ok",'Raw FRM data'!N24,"")</f>
        <v>3</v>
      </c>
      <c r="F22" s="196">
        <f>IF(G22="ok",'Raw candidate data'!N24,"")</f>
        <v>3</v>
      </c>
      <c r="G22" s="500" t="str">
        <f>IF(AND('Raw FRM data'!O24="",'Raw candidate data'!O24=""),"",IF(AND('Raw FRM data'!O24="ok",'Raw candidate data'!O24="ok"),"ok","NOT VALID"))</f>
        <v>ok</v>
      </c>
      <c r="H22" s="563">
        <f>IF(G22="ok",'Raw FRM data'!S24)</f>
        <v>11.4</v>
      </c>
      <c r="I22" s="555">
        <f>IF(G22="ok",'Raw FRM data'!S24,"")</f>
        <v>11.4</v>
      </c>
      <c r="J22" s="142">
        <f>IF(G22="ok",'Raw candidate data'!P24,"")</f>
        <v>12.200000000000001</v>
      </c>
      <c r="K22" s="145">
        <f>IF($G22="ok",'Raw FRM data'!T24,"")</f>
        <v>0.8717797887081294</v>
      </c>
      <c r="L22" s="139">
        <f>IF($G22="ok",'Raw candidate data'!Q24,"")</f>
        <v>1.1789826122551539</v>
      </c>
      <c r="M22" s="390">
        <f>IF($G22="ok",'Raw FRM data'!U24,"")</f>
        <v>0.0764719112901868</v>
      </c>
      <c r="N22" s="542">
        <f>IF($G22="ok",'Raw candidate data'!R24)</f>
        <v>0.09663791903730769</v>
      </c>
      <c r="O22" s="424">
        <f>IF($G22="ok",'Raw candidate data'!R24,"")</f>
        <v>0.09663791903730769</v>
      </c>
    </row>
    <row r="23" spans="2:15" ht="12.75">
      <c r="B23" s="603"/>
      <c r="C23" s="488">
        <v>15</v>
      </c>
      <c r="D23" s="134">
        <f>IF(ISBLANK('Raw FRM data'!D25),"",'Raw FRM data'!D25)</f>
        <v>39130</v>
      </c>
      <c r="E23" s="196">
        <f>IF(G23="ok",'Raw FRM data'!N25,"")</f>
        <v>3</v>
      </c>
      <c r="F23" s="196">
        <f>IF(G23="ok",'Raw candidate data'!N25,"")</f>
        <v>3</v>
      </c>
      <c r="G23" s="500" t="str">
        <f>IF(AND('Raw FRM data'!O25="",'Raw candidate data'!O25=""),"",IF(AND('Raw FRM data'!O25="ok",'Raw candidate data'!O25="ok"),"ok","NOT VALID"))</f>
        <v>ok</v>
      </c>
      <c r="H23" s="563">
        <f>IF(G23="ok",'Raw FRM data'!S25)</f>
        <v>26.3</v>
      </c>
      <c r="I23" s="555">
        <f>IF(G23="ok",'Raw FRM data'!S25,"")</f>
        <v>26.3</v>
      </c>
      <c r="J23" s="142">
        <f>IF(G23="ok",'Raw candidate data'!P25,"")</f>
        <v>26.7</v>
      </c>
      <c r="K23" s="145">
        <f>IF($G23="ok",'Raw FRM data'!T25,"")</f>
        <v>1.1135528725660084</v>
      </c>
      <c r="L23" s="139">
        <f>IF($G23="ok",'Raw candidate data'!Q25,"")</f>
        <v>2.5534290669607818</v>
      </c>
      <c r="M23" s="390">
        <f>IF($G23="ok",'Raw FRM data'!U25,"")</f>
        <v>0.04234041340555165</v>
      </c>
      <c r="N23" s="542">
        <f>IF($G23="ok",'Raw candidate data'!R25)</f>
        <v>0.09563404745171468</v>
      </c>
      <c r="O23" s="424">
        <f>IF($G23="ok",'Raw candidate data'!R25,"")</f>
        <v>0.09563404745171468</v>
      </c>
    </row>
    <row r="24" spans="2:15" ht="12.75">
      <c r="B24" s="603"/>
      <c r="C24" s="488">
        <v>16</v>
      </c>
      <c r="D24" s="134">
        <f>IF(ISBLANK('Raw FRM data'!D26),"",'Raw FRM data'!D26)</f>
        <v>39131</v>
      </c>
      <c r="E24" s="196">
        <f>IF(G24="ok",'Raw FRM data'!N26,"")</f>
        <v>3</v>
      </c>
      <c r="F24" s="196">
        <f>IF(G24="ok",'Raw candidate data'!N26,"")</f>
        <v>3</v>
      </c>
      <c r="G24" s="500" t="str">
        <f>IF(AND('Raw FRM data'!O26="",'Raw candidate data'!O26=""),"",IF(AND('Raw FRM data'!O26="ok",'Raw candidate data'!O26="ok"),"ok","NOT VALID"))</f>
        <v>ok</v>
      </c>
      <c r="H24" s="563">
        <f>IF(G24="ok",'Raw FRM data'!S26)</f>
        <v>45.46666666666666</v>
      </c>
      <c r="I24" s="555">
        <f>IF(G24="ok",'Raw FRM data'!S26,"")</f>
        <v>45.46666666666666</v>
      </c>
      <c r="J24" s="142">
        <f>IF(G24="ok",'Raw candidate data'!P26,"")</f>
        <v>46.76666666666667</v>
      </c>
      <c r="K24" s="145">
        <f>IF($G24="ok",'Raw FRM data'!T26,"")</f>
        <v>0.8020806277014083</v>
      </c>
      <c r="L24" s="139">
        <f>IF($G24="ok",'Raw candidate data'!Q26,"")</f>
        <v>0.9073771725874593</v>
      </c>
      <c r="M24" s="390">
        <f>IF($G24="ok",'Raw FRM data'!U26,"")</f>
        <v>0.017641069524224524</v>
      </c>
      <c r="N24" s="542">
        <f>IF($G24="ok",'Raw candidate data'!R26)</f>
        <v>0.01940222036894068</v>
      </c>
      <c r="O24" s="424">
        <f>IF($G24="ok",'Raw candidate data'!R26,"")</f>
        <v>0.01940222036894068</v>
      </c>
    </row>
    <row r="25" spans="2:15" ht="12.75">
      <c r="B25" s="603"/>
      <c r="C25" s="488">
        <v>17</v>
      </c>
      <c r="D25" s="134">
        <f>IF(ISBLANK('Raw FRM data'!D27),"",'Raw FRM data'!D27)</f>
        <v>39132</v>
      </c>
      <c r="E25" s="196">
        <f>IF(G25="ok",'Raw FRM data'!N27,"")</f>
        <v>3</v>
      </c>
      <c r="F25" s="196">
        <f>IF(G25="ok",'Raw candidate data'!N27,"")</f>
        <v>3</v>
      </c>
      <c r="G25" s="500" t="str">
        <f>IF(AND('Raw FRM data'!O27="",'Raw candidate data'!O27=""),"",IF(AND('Raw FRM data'!O27="ok",'Raw candidate data'!O27="ok"),"ok","NOT VALID"))</f>
        <v>ok</v>
      </c>
      <c r="H25" s="563">
        <f>IF(G25="ok",'Raw FRM data'!S27)</f>
        <v>46.699999999999996</v>
      </c>
      <c r="I25" s="555">
        <f>IF(G25="ok",'Raw FRM data'!S27,"")</f>
        <v>46.699999999999996</v>
      </c>
      <c r="J25" s="142">
        <f>IF(G25="ok",'Raw candidate data'!P27,"")</f>
        <v>47</v>
      </c>
      <c r="K25" s="145">
        <f>IF($G25="ok",'Raw FRM data'!T27,"")</f>
        <v>0.5196152422710832</v>
      </c>
      <c r="L25" s="139">
        <f>IF($G25="ok",'Raw candidate data'!Q27,"")</f>
        <v>2.3430749027719497</v>
      </c>
      <c r="M25" s="390">
        <f>IF($G25="ok",'Raw FRM data'!U27,"")</f>
        <v>0.011126664716725552</v>
      </c>
      <c r="N25" s="542">
        <f>IF($G25="ok",'Raw candidate data'!R27)</f>
        <v>0.049852657505786165</v>
      </c>
      <c r="O25" s="424">
        <f>IF($G25="ok",'Raw candidate data'!R27,"")</f>
        <v>0.049852657505786165</v>
      </c>
    </row>
    <row r="26" spans="2:15" ht="12.75">
      <c r="B26" s="603"/>
      <c r="C26" s="488">
        <v>18</v>
      </c>
      <c r="D26" s="134">
        <f>IF(ISBLANK('Raw FRM data'!D28),"",'Raw FRM data'!D28)</f>
        <v>39133</v>
      </c>
      <c r="E26" s="196">
        <f>IF(G26="ok",'Raw FRM data'!N28,"")</f>
        <v>2</v>
      </c>
      <c r="F26" s="196">
        <f>IF(G26="ok",'Raw candidate data'!N28,"")</f>
        <v>3</v>
      </c>
      <c r="G26" s="500" t="str">
        <f>IF(AND('Raw FRM data'!O28="",'Raw candidate data'!O28=""),"",IF(AND('Raw FRM data'!O28="ok",'Raw candidate data'!O28="ok"),"ok","NOT VALID"))</f>
        <v>ok</v>
      </c>
      <c r="H26" s="563">
        <f>IF(G26="ok",'Raw FRM data'!S28)</f>
        <v>12.05</v>
      </c>
      <c r="I26" s="555">
        <f>IF(G26="ok",'Raw FRM data'!S28,"")</f>
        <v>12.05</v>
      </c>
      <c r="J26" s="142">
        <f>IF(G26="ok",'Raw candidate data'!P28,"")</f>
        <v>11.699999999999998</v>
      </c>
      <c r="K26" s="145">
        <f>IF($G26="ok",'Raw FRM data'!T28,"")</f>
        <v>0.9192388155424958</v>
      </c>
      <c r="L26" s="139">
        <f>IF($G26="ok",'Raw candidate data'!Q28,"")</f>
        <v>0.4582575694956547</v>
      </c>
      <c r="M26" s="390">
        <f>IF($G26="ok",'Raw FRM data'!U28,"")</f>
        <v>0.07628537888319467</v>
      </c>
      <c r="N26" s="542">
        <f>IF($G26="ok",'Raw candidate data'!R28)</f>
        <v>0.03916731363210725</v>
      </c>
      <c r="O26" s="424">
        <f>IF($G26="ok",'Raw candidate data'!R28,"")</f>
        <v>0.03916731363210725</v>
      </c>
    </row>
    <row r="27" spans="2:15" ht="12.75">
      <c r="B27" s="603"/>
      <c r="C27" s="488">
        <v>19</v>
      </c>
      <c r="D27" s="134">
        <f>IF(ISBLANK('Raw FRM data'!D29),"",'Raw FRM data'!D29)</f>
        <v>39134</v>
      </c>
      <c r="E27" s="196">
        <f>IF(G27="ok",'Raw FRM data'!N29,"")</f>
        <v>3</v>
      </c>
      <c r="F27" s="196">
        <f>IF(G27="ok",'Raw candidate data'!N29,"")</f>
        <v>3</v>
      </c>
      <c r="G27" s="500" t="str">
        <f>IF(AND('Raw FRM data'!O29="",'Raw candidate data'!O29=""),"",IF(AND('Raw FRM data'!O29="ok",'Raw candidate data'!O29="ok"),"ok","NOT VALID"))</f>
        <v>ok</v>
      </c>
      <c r="H27" s="563">
        <f>IF(G27="ok",'Raw FRM data'!S29)</f>
        <v>40.3</v>
      </c>
      <c r="I27" s="555">
        <f>IF(G27="ok",'Raw FRM data'!S29,"")</f>
        <v>40.3</v>
      </c>
      <c r="J27" s="142">
        <f>IF(G27="ok",'Raw candidate data'!P29,"")</f>
        <v>40.400000000000006</v>
      </c>
      <c r="K27" s="145">
        <f>IF($G27="ok",'Raw FRM data'!T29,"")</f>
        <v>0.40000000000038655</v>
      </c>
      <c r="L27" s="139">
        <f>IF($G27="ok",'Raw candidate data'!Q29,"")</f>
        <v>2.1999999999998265</v>
      </c>
      <c r="M27" s="390">
        <f>IF($G27="ok",'Raw FRM data'!U29,"")</f>
        <v>0.00992555831266468</v>
      </c>
      <c r="N27" s="542">
        <f>IF($G27="ok",'Raw candidate data'!R29)</f>
        <v>0.05445544554455015</v>
      </c>
      <c r="O27" s="424">
        <f>IF($G27="ok",'Raw candidate data'!R29,"")</f>
        <v>0.05445544554455015</v>
      </c>
    </row>
    <row r="28" spans="2:15" ht="12.75">
      <c r="B28" s="603"/>
      <c r="C28" s="488">
        <v>20</v>
      </c>
      <c r="D28" s="134">
        <f>IF(ISBLANK('Raw FRM data'!D30),"",'Raw FRM data'!D30)</f>
        <v>39135</v>
      </c>
      <c r="E28" s="196">
        <f>IF(G28="ok",'Raw FRM data'!N30,"")</f>
        <v>2</v>
      </c>
      <c r="F28" s="196">
        <f>IF(G28="ok",'Raw candidate data'!N30,"")</f>
        <v>3</v>
      </c>
      <c r="G28" s="500" t="str">
        <f>IF(AND('Raw FRM data'!O30="",'Raw candidate data'!O30=""),"",IF(AND('Raw FRM data'!O30="ok",'Raw candidate data'!O30="ok"),"ok","NOT VALID"))</f>
        <v>ok</v>
      </c>
      <c r="H28" s="563">
        <f>IF(G28="ok",'Raw FRM data'!S30)</f>
        <v>7.15</v>
      </c>
      <c r="I28" s="555">
        <f>IF(G28="ok",'Raw FRM data'!S30,"")</f>
        <v>7.15</v>
      </c>
      <c r="J28" s="142">
        <f>IF(G28="ok",'Raw candidate data'!P30,"")</f>
        <v>5.800000000000001</v>
      </c>
      <c r="K28" s="145">
        <f>IF($G28="ok",'Raw FRM data'!T30,"")</f>
        <v>0.21213203435593478</v>
      </c>
      <c r="L28" s="139">
        <f>IF($G28="ok",'Raw candidate data'!Q30,"")</f>
        <v>2.260530911091463</v>
      </c>
      <c r="M28" s="390">
        <f>IF($G28="ok",'Raw FRM data'!U30,"")</f>
        <v>0.02966881599383703</v>
      </c>
      <c r="N28" s="542">
        <f>IF($G28="ok",'Raw candidate data'!R30)</f>
        <v>0.38974670880887285</v>
      </c>
      <c r="O28" s="424">
        <f>IF($G28="ok",'Raw candidate data'!R30,"")</f>
        <v>0.38974670880887285</v>
      </c>
    </row>
    <row r="29" spans="2:15" ht="12.75">
      <c r="B29" s="603"/>
      <c r="C29" s="488">
        <v>21</v>
      </c>
      <c r="D29" s="134">
        <f>IF(ISBLANK('Raw FRM data'!D31),"",'Raw FRM data'!D31)</f>
        <v>39136</v>
      </c>
      <c r="E29" s="196">
        <f>IF(G29="ok",'Raw FRM data'!N31,"")</f>
        <v>3</v>
      </c>
      <c r="F29" s="196">
        <f>IF(G29="ok",'Raw candidate data'!N31,"")</f>
        <v>3</v>
      </c>
      <c r="G29" s="500" t="str">
        <f>IF(AND('Raw FRM data'!O31="",'Raw candidate data'!O31=""),"",IF(AND('Raw FRM data'!O31="ok",'Raw candidate data'!O31="ok"),"ok","NOT VALID"))</f>
        <v>ok</v>
      </c>
      <c r="H29" s="563">
        <f>IF(G29="ok",'Raw FRM data'!S31)</f>
        <v>14.833333333333334</v>
      </c>
      <c r="I29" s="555">
        <f>IF(G29="ok",'Raw FRM data'!S31,"")</f>
        <v>14.833333333333334</v>
      </c>
      <c r="J29" s="142">
        <f>IF(G29="ok",'Raw candidate data'!P31,"")</f>
        <v>15.4</v>
      </c>
      <c r="K29" s="145">
        <f>IF($G29="ok",'Raw FRM data'!T31,"")</f>
        <v>0.5033222956847136</v>
      </c>
      <c r="L29" s="139">
        <f>IF($G29="ok",'Raw candidate data'!Q31,"")</f>
        <v>1.7578395831247036</v>
      </c>
      <c r="M29" s="390">
        <f>IF($G29="ok",'Raw FRM data'!U31,"")</f>
        <v>0.03393184015852002</v>
      </c>
      <c r="N29" s="542">
        <f>IF($G29="ok",'Raw candidate data'!R31)</f>
        <v>0.1141454274756301</v>
      </c>
      <c r="O29" s="424">
        <f>IF($G29="ok",'Raw candidate data'!R31,"")</f>
        <v>0.1141454274756301</v>
      </c>
    </row>
    <row r="30" spans="2:15" ht="12.75">
      <c r="B30" s="603"/>
      <c r="C30" s="488">
        <v>22</v>
      </c>
      <c r="D30" s="134">
        <f>IF(ISBLANK('Raw FRM data'!D32),"",'Raw FRM data'!D32)</f>
        <v>39137</v>
      </c>
      <c r="E30" s="196">
        <f>IF(G30="ok",'Raw FRM data'!N32,"")</f>
        <v>3</v>
      </c>
      <c r="F30" s="196">
        <f>IF(G30="ok",'Raw candidate data'!N32,"")</f>
        <v>3</v>
      </c>
      <c r="G30" s="500" t="str">
        <f>IF(AND('Raw FRM data'!O32="",'Raw candidate data'!O32=""),"",IF(AND('Raw FRM data'!O32="ok",'Raw candidate data'!O32="ok"),"ok","NOT VALID"))</f>
        <v>ok</v>
      </c>
      <c r="H30" s="563">
        <f>IF(G30="ok",'Raw FRM data'!S32)</f>
        <v>31.83333333333333</v>
      </c>
      <c r="I30" s="555">
        <f>IF(G30="ok",'Raw FRM data'!S32,"")</f>
        <v>31.83333333333333</v>
      </c>
      <c r="J30" s="142">
        <f>IF(G30="ok",'Raw candidate data'!P32,"")</f>
        <v>30.566666666666666</v>
      </c>
      <c r="K30" s="145">
        <f>IF($G30="ok",'Raw FRM data'!T32,"")</f>
        <v>1.0016652800880068</v>
      </c>
      <c r="L30" s="139">
        <f>IF($G30="ok",'Raw candidate data'!Q32,"")</f>
        <v>0.7505553499464751</v>
      </c>
      <c r="M30" s="390">
        <f>IF($G30="ok",'Raw FRM data'!U32,"")</f>
        <v>0.031465925028942625</v>
      </c>
      <c r="N30" s="542">
        <f>IF($G30="ok",'Raw candidate data'!R32)</f>
        <v>0.024554700652556438</v>
      </c>
      <c r="O30" s="424">
        <f>IF($G30="ok",'Raw candidate data'!R32,"")</f>
        <v>0.024554700652556438</v>
      </c>
    </row>
    <row r="31" spans="2:15" ht="13.5" thickBot="1">
      <c r="B31" s="604"/>
      <c r="C31" s="489">
        <v>23</v>
      </c>
      <c r="D31" s="135">
        <f>IF(ISBLANK('Raw FRM data'!D33),"",'Raw FRM data'!D33)</f>
        <v>39138</v>
      </c>
      <c r="E31" s="198">
        <f>IF(G31="ok",'Raw FRM data'!N33,"")</f>
        <v>3</v>
      </c>
      <c r="F31" s="199">
        <f>IF(G31="ok",'Raw candidate data'!N33,"")</f>
        <v>3</v>
      </c>
      <c r="G31" s="154" t="str">
        <f>IF(AND('Raw FRM data'!O33="",'Raw candidate data'!O33=""),"",IF(AND('Raw FRM data'!O33="ok",'Raw candidate data'!O33="ok"),"ok","NOT VALID"))</f>
        <v>ok</v>
      </c>
      <c r="H31" s="564">
        <f>IF(G31="ok",'Raw FRM data'!S33)</f>
        <v>13.066666666666668</v>
      </c>
      <c r="I31" s="556">
        <f>IF(G31="ok",'Raw FRM data'!S33,"")</f>
        <v>13.066666666666668</v>
      </c>
      <c r="J31" s="151">
        <f>IF(G31="ok",'Raw candidate data'!P33,"")</f>
        <v>14.066666666666668</v>
      </c>
      <c r="K31" s="152">
        <f>IF($G31="ok",'Raw FRM data'!T33,"")</f>
        <v>0.5859465277081591</v>
      </c>
      <c r="L31" s="153">
        <f>IF($G31="ok",'Raw candidate data'!Q33,"")</f>
        <v>2.358671942711265</v>
      </c>
      <c r="M31" s="392">
        <f>IF($G31="ok",'Raw FRM data'!U33,"")</f>
        <v>0.04484284650827748</v>
      </c>
      <c r="N31" s="543">
        <f>IF($G31="ok",'Raw candidate data'!R33)</f>
        <v>0.16767810019274393</v>
      </c>
      <c r="O31" s="425">
        <f>IF($G31="ok",'Raw candidate data'!R33,"")</f>
        <v>0.16767810019274393</v>
      </c>
    </row>
    <row r="32" spans="2:15" ht="12.75">
      <c r="B32" s="602" t="s">
        <v>47</v>
      </c>
      <c r="C32" s="72">
        <v>24</v>
      </c>
      <c r="D32" s="136">
        <f>IF(ISBLANK('Raw FRM data'!D34),"",'Raw FRM data'!D34)</f>
        <v>39139</v>
      </c>
      <c r="E32" s="196">
        <f>IF(G32="ok",'Raw FRM data'!N34,"")</f>
        <v>3</v>
      </c>
      <c r="F32" s="196">
        <f>IF(G32="ok",'Raw candidate data'!N34,"")</f>
        <v>3</v>
      </c>
      <c r="G32" s="560" t="str">
        <f>IF(AND('Raw FRM data'!O34="",'Raw candidate data'!O34=""),"",IF(AND('Raw FRM data'!O34="ok",'Raw candidate data'!O34="ok"),"ok","NOT VALID"))</f>
        <v>ok</v>
      </c>
      <c r="H32" s="565">
        <f>IF(G32="ok",'Raw FRM data'!S34)</f>
        <v>26</v>
      </c>
      <c r="I32" s="557">
        <f>IF(G32="ok",'Raw FRM data'!S34,"")</f>
        <v>26</v>
      </c>
      <c r="J32" s="148">
        <f>IF(G32="ok",'Raw candidate data'!P34,"")</f>
        <v>27.100000000000005</v>
      </c>
      <c r="K32" s="149">
        <f>IF($G32="ok",'Raw FRM data'!T34,"")</f>
        <v>1</v>
      </c>
      <c r="L32" s="150">
        <f>IF($G32="ok",'Raw candidate data'!Q34,"")</f>
        <v>2</v>
      </c>
      <c r="M32" s="391">
        <f>IF($G32="ok",'Raw FRM data'!U34,"")</f>
        <v>0.038461538461538464</v>
      </c>
      <c r="N32" s="541">
        <f>IF($G32="ok",'Raw candidate data'!R34)</f>
        <v>0.07380073800738006</v>
      </c>
      <c r="O32" s="410">
        <f>IF($G32="ok",'Raw candidate data'!R34,"")</f>
        <v>0.07380073800738006</v>
      </c>
    </row>
    <row r="33" spans="2:15" ht="12.75">
      <c r="B33" s="605"/>
      <c r="C33" s="488">
        <v>25</v>
      </c>
      <c r="D33" s="134">
        <f>IF(ISBLANK('Raw FRM data'!D35),"",'Raw FRM data'!D35)</f>
        <v>39140</v>
      </c>
      <c r="E33" s="196">
        <f>IF(G33="ok",'Raw FRM data'!N35,"")</f>
        <v>3</v>
      </c>
      <c r="F33" s="196">
        <f>IF(G33="ok",'Raw candidate data'!N35,"")</f>
        <v>3</v>
      </c>
      <c r="G33" s="500" t="str">
        <f>IF(AND('Raw FRM data'!O35="",'Raw candidate data'!O35=""),"",IF(AND('Raw FRM data'!O35="ok",'Raw candidate data'!O35="ok"),"ok","NOT VALID"))</f>
        <v>ok</v>
      </c>
      <c r="H33" s="563">
        <f>IF(G33="ok",'Raw FRM data'!S35)</f>
        <v>48.26666666666667</v>
      </c>
      <c r="I33" s="555">
        <f>IF(G33="ok",'Raw FRM data'!S35,"")</f>
        <v>48.26666666666667</v>
      </c>
      <c r="J33" s="142">
        <f>IF(G33="ok",'Raw candidate data'!P35,"")</f>
        <v>48.833333333333336</v>
      </c>
      <c r="K33" s="145">
        <f>IF($G33="ok",'Raw FRM data'!T35,"")</f>
        <v>0.7023769168562062</v>
      </c>
      <c r="L33" s="139">
        <f>IF($G33="ok",'Raw candidate data'!Q35,"")</f>
        <v>2.3629078131263364</v>
      </c>
      <c r="M33" s="390">
        <f>IF($G33="ok",'Raw FRM data'!U35,"")</f>
        <v>0.014552007945915872</v>
      </c>
      <c r="N33" s="542">
        <f>IF($G33="ok",'Raw candidate data'!R35)</f>
        <v>0.0483871907124847</v>
      </c>
      <c r="O33" s="424">
        <f>IF($G33="ok",'Raw candidate data'!R35,"")</f>
        <v>0.0483871907124847</v>
      </c>
    </row>
    <row r="34" spans="2:15" ht="12.75">
      <c r="B34" s="605"/>
      <c r="C34" s="488">
        <v>26</v>
      </c>
      <c r="D34" s="134">
        <f>IF(ISBLANK('Raw FRM data'!D36),"",'Raw FRM data'!D36)</f>
        <v>39141</v>
      </c>
      <c r="E34" s="196">
        <f>IF(G34="ok",'Raw FRM data'!N36,"")</f>
        <v>3</v>
      </c>
      <c r="F34" s="196">
        <f>IF(G34="ok",'Raw candidate data'!N36,"")</f>
        <v>3</v>
      </c>
      <c r="G34" s="500" t="str">
        <f>IF(AND('Raw FRM data'!O36="",'Raw candidate data'!O36=""),"",IF(AND('Raw FRM data'!O36="ok",'Raw candidate data'!O36="ok"),"ok","NOT VALID"))</f>
        <v>ok</v>
      </c>
      <c r="H34" s="563">
        <f>IF(G34="ok",'Raw FRM data'!S36)</f>
        <v>45.70000000000001</v>
      </c>
      <c r="I34" s="555">
        <f>IF(G34="ok",'Raw FRM data'!S36,"")</f>
        <v>45.70000000000001</v>
      </c>
      <c r="J34" s="142">
        <f>IF(G34="ok",'Raw candidate data'!P36,"")</f>
        <v>47.5</v>
      </c>
      <c r="K34" s="145">
        <f>IF($G34="ok",'Raw FRM data'!T36,"")</f>
        <v>0.5567764362821365</v>
      </c>
      <c r="L34" s="139">
        <f>IF($G34="ok",'Raw candidate data'!Q36,"")</f>
        <v>1.2529964086140506</v>
      </c>
      <c r="M34" s="390">
        <f>IF($G34="ok",'Raw FRM data'!U36,"")</f>
        <v>0.012183291822366223</v>
      </c>
      <c r="N34" s="542">
        <f>IF($G34="ok",'Raw candidate data'!R36)</f>
        <v>0.026378871760295804</v>
      </c>
      <c r="O34" s="424">
        <f>IF($G34="ok",'Raw candidate data'!R36,"")</f>
        <v>0.026378871760295804</v>
      </c>
    </row>
    <row r="35" spans="2:15" ht="12.75">
      <c r="B35" s="605"/>
      <c r="C35" s="488">
        <v>27</v>
      </c>
      <c r="D35" s="134">
        <f>IF(ISBLANK('Raw FRM data'!D37),"",'Raw FRM data'!D37)</f>
        <v>39142</v>
      </c>
      <c r="E35" s="196">
        <f>IF(G35="ok",'Raw FRM data'!N37,"")</f>
        <v>3</v>
      </c>
      <c r="F35" s="196">
        <f>IF(G35="ok",'Raw candidate data'!N37,"")</f>
        <v>3</v>
      </c>
      <c r="G35" s="500" t="str">
        <f>IF(AND('Raw FRM data'!O37="",'Raw candidate data'!O37=""),"",IF(AND('Raw FRM data'!O37="ok",'Raw candidate data'!O37="ok"),"ok","NOT VALID"))</f>
        <v>ok</v>
      </c>
      <c r="H35" s="563">
        <f>IF(G35="ok",'Raw FRM data'!S37)</f>
        <v>21.96666666666667</v>
      </c>
      <c r="I35" s="555">
        <f>IF(G35="ok",'Raw FRM data'!S37,"")</f>
        <v>21.96666666666667</v>
      </c>
      <c r="J35" s="142">
        <f>IF(G35="ok",'Raw candidate data'!P37,"")</f>
        <v>21.766666666666666</v>
      </c>
      <c r="K35" s="145">
        <f>IF($G35="ok",'Raw FRM data'!T37,"")</f>
        <v>1.193035344544867</v>
      </c>
      <c r="L35" s="139">
        <f>IF($G35="ok",'Raw candidate data'!Q37,"")</f>
        <v>1.4502873278538913</v>
      </c>
      <c r="M35" s="390">
        <f>IF($G35="ok",'Raw FRM data'!U37,"")</f>
        <v>0.05431116894741427</v>
      </c>
      <c r="N35" s="542">
        <f>IF($G35="ok",'Raw candidate data'!R37)</f>
        <v>0.06662882057521706</v>
      </c>
      <c r="O35" s="424">
        <f>IF($G35="ok",'Raw candidate data'!R37,"")</f>
        <v>0.06662882057521706</v>
      </c>
    </row>
    <row r="36" spans="2:15" ht="12.75">
      <c r="B36" s="605"/>
      <c r="C36" s="488">
        <v>28</v>
      </c>
      <c r="D36" s="134">
        <f>IF(ISBLANK('Raw FRM data'!D38),"",'Raw FRM data'!D38)</f>
      </c>
      <c r="E36" s="196">
        <f>IF(G36="ok",'Raw FRM data'!N38,"")</f>
      </c>
      <c r="F36" s="196">
        <f>IF(G36="ok",'Raw candidate data'!N38,"")</f>
      </c>
      <c r="G36" s="500">
        <f>IF(AND('Raw FRM data'!O38="",'Raw candidate data'!O38=""),"",IF(AND('Raw FRM data'!O38="ok",'Raw candidate data'!O38="ok"),"ok","NOT VALID"))</f>
      </c>
      <c r="H36" s="563" t="b">
        <f>IF(G36="ok",'Raw FRM data'!S38)</f>
        <v>0</v>
      </c>
      <c r="I36" s="555">
        <f>IF(G36="ok",'Raw FRM data'!S38,"")</f>
      </c>
      <c r="J36" s="142">
        <f>IF(G36="ok",'Raw candidate data'!P38,"")</f>
      </c>
      <c r="K36" s="145">
        <f>IF($G36="ok",'Raw FRM data'!T38,"")</f>
      </c>
      <c r="L36" s="139">
        <f>IF($G36="ok",'Raw candidate data'!Q38,"")</f>
      </c>
      <c r="M36" s="390">
        <f>IF($G36="ok",'Raw FRM data'!U38,"")</f>
      </c>
      <c r="N36" s="542" t="b">
        <f>IF($G36="ok",'Raw candidate data'!R38)</f>
        <v>0</v>
      </c>
      <c r="O36" s="424">
        <f>IF($G36="ok",'Raw candidate data'!R38,"")</f>
      </c>
    </row>
    <row r="37" spans="2:15" ht="12.75">
      <c r="B37" s="605"/>
      <c r="C37" s="488">
        <v>29</v>
      </c>
      <c r="D37" s="134">
        <f>IF(ISBLANK('Raw FRM data'!D39),"",'Raw FRM data'!D39)</f>
      </c>
      <c r="E37" s="196">
        <f>IF(G37="ok",'Raw FRM data'!N39,"")</f>
      </c>
      <c r="F37" s="196">
        <f>IF(G37="ok",'Raw candidate data'!N39,"")</f>
      </c>
      <c r="G37" s="500">
        <f>IF(AND('Raw FRM data'!O39="",'Raw candidate data'!O39=""),"",IF(AND('Raw FRM data'!O39="ok",'Raw candidate data'!O39="ok"),"ok","NOT VALID"))</f>
      </c>
      <c r="H37" s="563" t="b">
        <f>IF(G37="ok",'Raw FRM data'!S39)</f>
        <v>0</v>
      </c>
      <c r="I37" s="555">
        <f>IF(G37="ok",'Raw FRM data'!S39,"")</f>
      </c>
      <c r="J37" s="142">
        <f>IF(G37="ok",'Raw candidate data'!P39,"")</f>
      </c>
      <c r="K37" s="145">
        <f>IF($G37="ok",'Raw FRM data'!T39,"")</f>
      </c>
      <c r="L37" s="139">
        <f>IF($G37="ok",'Raw candidate data'!Q39,"")</f>
      </c>
      <c r="M37" s="390">
        <f>IF($G37="ok",'Raw FRM data'!U39,"")</f>
      </c>
      <c r="N37" s="542" t="b">
        <f>IF($G37="ok",'Raw candidate data'!R39)</f>
        <v>0</v>
      </c>
      <c r="O37" s="424">
        <f>IF($G37="ok",'Raw candidate data'!R39,"")</f>
      </c>
    </row>
    <row r="38" spans="2:15" ht="12.75">
      <c r="B38" s="605"/>
      <c r="C38" s="488">
        <v>30</v>
      </c>
      <c r="D38" s="134">
        <f>IF(ISBLANK('Raw FRM data'!D40),"",'Raw FRM data'!D40)</f>
      </c>
      <c r="E38" s="196">
        <f>IF(G38="ok",'Raw FRM data'!N40,"")</f>
      </c>
      <c r="F38" s="196">
        <f>IF(G38="ok",'Raw candidate data'!N40,"")</f>
      </c>
      <c r="G38" s="500">
        <f>IF(AND('Raw FRM data'!O40="",'Raw candidate data'!O40=""),"",IF(AND('Raw FRM data'!O40="ok",'Raw candidate data'!O40="ok"),"ok","NOT VALID"))</f>
      </c>
      <c r="H38" s="563" t="b">
        <f>IF(G38="ok",'Raw FRM data'!S40)</f>
        <v>0</v>
      </c>
      <c r="I38" s="555">
        <f>IF(G38="ok",'Raw FRM data'!S40,"")</f>
      </c>
      <c r="J38" s="142">
        <f>IF(G38="ok",'Raw candidate data'!P40,"")</f>
      </c>
      <c r="K38" s="145">
        <f>IF($G38="ok",'Raw FRM data'!T40,"")</f>
      </c>
      <c r="L38" s="139">
        <f>IF($G38="ok",'Raw candidate data'!Q40,"")</f>
      </c>
      <c r="M38" s="390">
        <f>IF($G38="ok",'Raw FRM data'!U40,"")</f>
      </c>
      <c r="N38" s="542" t="b">
        <f>IF($G38="ok",'Raw candidate data'!R40)</f>
        <v>0</v>
      </c>
      <c r="O38" s="424">
        <f>IF($G38="ok",'Raw candidate data'!R40,"")</f>
      </c>
    </row>
    <row r="39" spans="2:15" ht="12.75">
      <c r="B39" s="605"/>
      <c r="C39" s="488">
        <v>31</v>
      </c>
      <c r="D39" s="134">
        <f>IF(ISBLANK('Raw FRM data'!D41),"",'Raw FRM data'!D41)</f>
      </c>
      <c r="E39" s="196">
        <f>IF(G39="ok",'Raw FRM data'!N41,"")</f>
      </c>
      <c r="F39" s="196">
        <f>IF(G39="ok",'Raw candidate data'!N41,"")</f>
      </c>
      <c r="G39" s="500">
        <f>IF(AND('Raw FRM data'!O41="",'Raw candidate data'!O41=""),"",IF(AND('Raw FRM data'!O41="ok",'Raw candidate data'!O41="ok"),"ok","NOT VALID"))</f>
      </c>
      <c r="H39" s="563" t="b">
        <f>IF(G39="ok",'Raw FRM data'!S41)</f>
        <v>0</v>
      </c>
      <c r="I39" s="555">
        <f>IF(G39="ok",'Raw FRM data'!S41,"")</f>
      </c>
      <c r="J39" s="142">
        <f>IF(G39="ok",'Raw candidate data'!P41,"")</f>
      </c>
      <c r="K39" s="145">
        <f>IF($G39="ok",'Raw FRM data'!T41,"")</f>
      </c>
      <c r="L39" s="139">
        <f>IF($G39="ok",'Raw candidate data'!Q41,"")</f>
      </c>
      <c r="M39" s="390">
        <f>IF($G39="ok",'Raw FRM data'!U41,"")</f>
      </c>
      <c r="N39" s="542" t="b">
        <f>IF($G39="ok",'Raw candidate data'!R41)</f>
        <v>0</v>
      </c>
      <c r="O39" s="424">
        <f>IF($G39="ok",'Raw candidate data'!R41,"")</f>
      </c>
    </row>
    <row r="40" spans="2:15" ht="12.75">
      <c r="B40" s="605"/>
      <c r="C40" s="488">
        <v>32</v>
      </c>
      <c r="D40" s="134">
        <f>IF(ISBLANK('Raw FRM data'!D42),"",'Raw FRM data'!D42)</f>
      </c>
      <c r="E40" s="196">
        <f>IF(G40="ok",'Raw FRM data'!N42,"")</f>
      </c>
      <c r="F40" s="196">
        <f>IF(G40="ok",'Raw candidate data'!N42,"")</f>
      </c>
      <c r="G40" s="500">
        <f>IF(AND('Raw FRM data'!O42="",'Raw candidate data'!O42=""),"",IF(AND('Raw FRM data'!O42="ok",'Raw candidate data'!O42="ok"),"ok","NOT VALID"))</f>
      </c>
      <c r="H40" s="563" t="b">
        <f>IF(G40="ok",'Raw FRM data'!S42)</f>
        <v>0</v>
      </c>
      <c r="I40" s="555">
        <f>IF(G40="ok",'Raw FRM data'!S42,"")</f>
      </c>
      <c r="J40" s="142">
        <f>IF(G40="ok",'Raw candidate data'!P42,"")</f>
      </c>
      <c r="K40" s="145">
        <f>IF($G40="ok",'Raw FRM data'!T42,"")</f>
      </c>
      <c r="L40" s="139">
        <f>IF($G40="ok",'Raw candidate data'!Q42,"")</f>
      </c>
      <c r="M40" s="390">
        <f>IF($G40="ok",'Raw FRM data'!U42,"")</f>
      </c>
      <c r="N40" s="542" t="b">
        <f>IF($G40="ok",'Raw candidate data'!R42)</f>
        <v>0</v>
      </c>
      <c r="O40" s="424">
        <f>IF($G40="ok",'Raw candidate data'!R42,"")</f>
      </c>
    </row>
    <row r="41" spans="2:15" ht="12.75">
      <c r="B41" s="605"/>
      <c r="C41" s="488">
        <v>33</v>
      </c>
      <c r="D41" s="134">
        <f>IF(ISBLANK('Raw FRM data'!D43),"",'Raw FRM data'!D43)</f>
      </c>
      <c r="E41" s="196">
        <f>IF(G41="ok",'Raw FRM data'!N43,"")</f>
      </c>
      <c r="F41" s="196">
        <f>IF(G41="ok",'Raw candidate data'!N43,"")</f>
      </c>
      <c r="G41" s="500">
        <f>IF(AND('Raw FRM data'!O43="",'Raw candidate data'!O43=""),"",IF(AND('Raw FRM data'!O43="ok",'Raw candidate data'!O43="ok"),"ok","NOT VALID"))</f>
      </c>
      <c r="H41" s="563" t="b">
        <f>IF(G41="ok",'Raw FRM data'!S43)</f>
        <v>0</v>
      </c>
      <c r="I41" s="555">
        <f>IF(G41="ok",'Raw FRM data'!S43,"")</f>
      </c>
      <c r="J41" s="142">
        <f>IF(G41="ok",'Raw candidate data'!P43,"")</f>
      </c>
      <c r="K41" s="145">
        <f>IF($G41="ok",'Raw FRM data'!T43,"")</f>
      </c>
      <c r="L41" s="139">
        <f>IF($G41="ok",'Raw candidate data'!Q43,"")</f>
      </c>
      <c r="M41" s="390">
        <f>IF($G41="ok",'Raw FRM data'!U43,"")</f>
      </c>
      <c r="N41" s="542" t="b">
        <f>IF($G41="ok",'Raw candidate data'!R43)</f>
        <v>0</v>
      </c>
      <c r="O41" s="424">
        <f>IF($G41="ok",'Raw candidate data'!R43,"")</f>
      </c>
    </row>
    <row r="42" spans="2:15" ht="12.75">
      <c r="B42" s="605"/>
      <c r="C42" s="488">
        <v>34</v>
      </c>
      <c r="D42" s="134">
        <f>IF(ISBLANK('Raw FRM data'!D44),"",'Raw FRM data'!D44)</f>
      </c>
      <c r="E42" s="196">
        <f>IF(G42="ok",'Raw FRM data'!N44,"")</f>
      </c>
      <c r="F42" s="196">
        <f>IF(G42="ok",'Raw candidate data'!N44,"")</f>
      </c>
      <c r="G42" s="500">
        <f>IF(AND('Raw FRM data'!O44="",'Raw candidate data'!O44=""),"",IF(AND('Raw FRM data'!O44="ok",'Raw candidate data'!O44="ok"),"ok","NOT VALID"))</f>
      </c>
      <c r="H42" s="563" t="b">
        <f>IF(G42="ok",'Raw FRM data'!S44)</f>
        <v>0</v>
      </c>
      <c r="I42" s="555">
        <f>IF(G42="ok",'Raw FRM data'!S44,"")</f>
      </c>
      <c r="J42" s="142">
        <f>IF(G42="ok",'Raw candidate data'!P44,"")</f>
      </c>
      <c r="K42" s="145">
        <f>IF($G42="ok",'Raw FRM data'!T44,"")</f>
      </c>
      <c r="L42" s="139">
        <f>IF($G42="ok",'Raw candidate data'!Q44,"")</f>
      </c>
      <c r="M42" s="390">
        <f>IF($G42="ok",'Raw FRM data'!U44,"")</f>
      </c>
      <c r="N42" s="542" t="b">
        <f>IF($G42="ok",'Raw candidate data'!R44)</f>
        <v>0</v>
      </c>
      <c r="O42" s="424">
        <f>IF($G42="ok",'Raw candidate data'!R44,"")</f>
      </c>
    </row>
    <row r="43" spans="2:15" ht="12.75">
      <c r="B43" s="605"/>
      <c r="C43" s="488">
        <v>35</v>
      </c>
      <c r="D43" s="134">
        <f>IF(ISBLANK('Raw FRM data'!D45),"",'Raw FRM data'!D45)</f>
      </c>
      <c r="E43" s="196">
        <f>IF(G43="ok",'Raw FRM data'!N45,"")</f>
      </c>
      <c r="F43" s="196">
        <f>IF(G43="ok",'Raw candidate data'!N45,"")</f>
      </c>
      <c r="G43" s="500">
        <f>IF(AND('Raw FRM data'!O45="",'Raw candidate data'!O45=""),"",IF(AND('Raw FRM data'!O45="ok",'Raw candidate data'!O45="ok"),"ok","NOT VALID"))</f>
      </c>
      <c r="H43" s="563" t="b">
        <f>IF(G43="ok",'Raw FRM data'!S45)</f>
        <v>0</v>
      </c>
      <c r="I43" s="555">
        <f>IF(G43="ok",'Raw FRM data'!S45,"")</f>
      </c>
      <c r="J43" s="142">
        <f>IF(G43="ok",'Raw candidate data'!P45,"")</f>
      </c>
      <c r="K43" s="145">
        <f>IF($G43="ok",'Raw FRM data'!T45,"")</f>
      </c>
      <c r="L43" s="139">
        <f>IF($G43="ok",'Raw candidate data'!Q45,"")</f>
      </c>
      <c r="M43" s="390">
        <f>IF($G43="ok",'Raw FRM data'!U45,"")</f>
      </c>
      <c r="N43" s="542" t="b">
        <f>IF($G43="ok",'Raw candidate data'!R45)</f>
        <v>0</v>
      </c>
      <c r="O43" s="424">
        <f>IF($G43="ok",'Raw candidate data'!R45,"")</f>
      </c>
    </row>
    <row r="44" spans="2:15" ht="12.75">
      <c r="B44" s="605"/>
      <c r="C44" s="488">
        <v>36</v>
      </c>
      <c r="D44" s="134">
        <f>IF(ISBLANK('Raw FRM data'!D46),"",'Raw FRM data'!D46)</f>
      </c>
      <c r="E44" s="196">
        <f>IF(G44="ok",'Raw FRM data'!N46,"")</f>
      </c>
      <c r="F44" s="196">
        <f>IF(G44="ok",'Raw candidate data'!N46,"")</f>
      </c>
      <c r="G44" s="500">
        <f>IF(AND('Raw FRM data'!O46="",'Raw candidate data'!O46=""),"",IF(AND('Raw FRM data'!O46="ok",'Raw candidate data'!O46="ok"),"ok","NOT VALID"))</f>
      </c>
      <c r="H44" s="563" t="b">
        <f>IF(G44="ok",'Raw FRM data'!S46)</f>
        <v>0</v>
      </c>
      <c r="I44" s="555">
        <f>IF(G44="ok",'Raw FRM data'!S46,"")</f>
      </c>
      <c r="J44" s="142">
        <f>IF(G44="ok",'Raw candidate data'!P46,"")</f>
      </c>
      <c r="K44" s="145">
        <f>IF($G44="ok",'Raw FRM data'!T46,"")</f>
      </c>
      <c r="L44" s="139">
        <f>IF($G44="ok",'Raw candidate data'!Q46,"")</f>
      </c>
      <c r="M44" s="390">
        <f>IF($G44="ok",'Raw FRM data'!U46,"")</f>
      </c>
      <c r="N44" s="542" t="b">
        <f>IF($G44="ok",'Raw candidate data'!R46)</f>
        <v>0</v>
      </c>
      <c r="O44" s="424">
        <f>IF($G44="ok",'Raw candidate data'!R46,"")</f>
      </c>
    </row>
    <row r="45" spans="2:15" ht="12.75">
      <c r="B45" s="605"/>
      <c r="C45" s="488">
        <v>37</v>
      </c>
      <c r="D45" s="134">
        <f>IF(ISBLANK('Raw FRM data'!D47),"",'Raw FRM data'!D47)</f>
      </c>
      <c r="E45" s="196">
        <f>IF(G45="ok",'Raw FRM data'!N47,"")</f>
      </c>
      <c r="F45" s="196">
        <f>IF(G45="ok",'Raw candidate data'!N47,"")</f>
      </c>
      <c r="G45" s="500">
        <f>IF(AND('Raw FRM data'!O47="",'Raw candidate data'!O47=""),"",IF(AND('Raw FRM data'!O47="ok",'Raw candidate data'!O47="ok"),"ok","NOT VALID"))</f>
      </c>
      <c r="H45" s="563" t="b">
        <f>IF(G45="ok",'Raw FRM data'!S47)</f>
        <v>0</v>
      </c>
      <c r="I45" s="555">
        <f>IF(G45="ok",'Raw FRM data'!S47,"")</f>
      </c>
      <c r="J45" s="142">
        <f>IF(G45="ok",'Raw candidate data'!P47,"")</f>
      </c>
      <c r="K45" s="145">
        <f>IF($G45="ok",'Raw FRM data'!T47,"")</f>
      </c>
      <c r="L45" s="139">
        <f>IF($G45="ok",'Raw candidate data'!Q47,"")</f>
      </c>
      <c r="M45" s="390">
        <f>IF($G45="ok",'Raw FRM data'!U47,"")</f>
      </c>
      <c r="N45" s="542" t="b">
        <f>IF($G45="ok",'Raw candidate data'!R47)</f>
        <v>0</v>
      </c>
      <c r="O45" s="424">
        <f>IF($G45="ok",'Raw candidate data'!R47,"")</f>
      </c>
    </row>
    <row r="46" spans="2:15" ht="12.75">
      <c r="B46" s="605"/>
      <c r="C46" s="488">
        <v>38</v>
      </c>
      <c r="D46" s="134">
        <f>IF(ISBLANK('Raw FRM data'!D48),"",'Raw FRM data'!D48)</f>
      </c>
      <c r="E46" s="196">
        <f>IF(G46="ok",'Raw FRM data'!N48,"")</f>
      </c>
      <c r="F46" s="196">
        <f>IF(G46="ok",'Raw candidate data'!N48,"")</f>
      </c>
      <c r="G46" s="500">
        <f>IF(AND('Raw FRM data'!O48="",'Raw candidate data'!O48=""),"",IF(AND('Raw FRM data'!O48="ok",'Raw candidate data'!O48="ok"),"ok","NOT VALID"))</f>
      </c>
      <c r="H46" s="563" t="b">
        <f>IF(G46="ok",'Raw FRM data'!S48)</f>
        <v>0</v>
      </c>
      <c r="I46" s="555">
        <f>IF(G46="ok",'Raw FRM data'!S48,"")</f>
      </c>
      <c r="J46" s="142">
        <f>IF(G46="ok",'Raw candidate data'!P48,"")</f>
      </c>
      <c r="K46" s="145">
        <f>IF($G46="ok",'Raw FRM data'!T48,"")</f>
      </c>
      <c r="L46" s="139">
        <f>IF($G46="ok",'Raw candidate data'!Q48,"")</f>
      </c>
      <c r="M46" s="390">
        <f>IF($G46="ok",'Raw FRM data'!U48,"")</f>
      </c>
      <c r="N46" s="542" t="b">
        <f>IF($G46="ok",'Raw candidate data'!R48)</f>
        <v>0</v>
      </c>
      <c r="O46" s="424">
        <f>IF($G46="ok",'Raw candidate data'!R48,"")</f>
      </c>
    </row>
    <row r="47" spans="2:15" ht="12.75">
      <c r="B47" s="605"/>
      <c r="C47" s="488">
        <v>39</v>
      </c>
      <c r="D47" s="134">
        <f>IF(ISBLANK('Raw FRM data'!D49),"",'Raw FRM data'!D49)</f>
      </c>
      <c r="E47" s="196">
        <f>IF(G47="ok",'Raw FRM data'!N49,"")</f>
      </c>
      <c r="F47" s="196">
        <f>IF(G47="ok",'Raw candidate data'!N49,"")</f>
      </c>
      <c r="G47" s="500">
        <f>IF(AND('Raw FRM data'!O49="",'Raw candidate data'!O49=""),"",IF(AND('Raw FRM data'!O49="ok",'Raw candidate data'!O49="ok"),"ok","NOT VALID"))</f>
      </c>
      <c r="H47" s="563" t="b">
        <f>IF(G47="ok",'Raw FRM data'!S49)</f>
        <v>0</v>
      </c>
      <c r="I47" s="555">
        <f>IF(G47="ok",'Raw FRM data'!S49,"")</f>
      </c>
      <c r="J47" s="142">
        <f>IF(G47="ok",'Raw candidate data'!P49,"")</f>
      </c>
      <c r="K47" s="145">
        <f>IF($G47="ok",'Raw FRM data'!T49,"")</f>
      </c>
      <c r="L47" s="139">
        <f>IF($G47="ok",'Raw candidate data'!Q49,"")</f>
      </c>
      <c r="M47" s="390">
        <f>IF($G47="ok",'Raw FRM data'!U49,"")</f>
      </c>
      <c r="N47" s="542" t="b">
        <f>IF($G47="ok",'Raw candidate data'!R49)</f>
        <v>0</v>
      </c>
      <c r="O47" s="424">
        <f>IF($G47="ok",'Raw candidate data'!R49,"")</f>
      </c>
    </row>
    <row r="48" spans="2:15" ht="12.75">
      <c r="B48" s="605"/>
      <c r="C48" s="488">
        <v>40</v>
      </c>
      <c r="D48" s="134">
        <f>IF(ISBLANK('Raw FRM data'!D50),"",'Raw FRM data'!D50)</f>
      </c>
      <c r="E48" s="196">
        <f>IF(G48="ok",'Raw FRM data'!N50,"")</f>
      </c>
      <c r="F48" s="196">
        <f>IF(G48="ok",'Raw candidate data'!N50,"")</f>
      </c>
      <c r="G48" s="500">
        <f>IF(AND('Raw FRM data'!O50="",'Raw candidate data'!O50=""),"",IF(AND('Raw FRM data'!O50="ok",'Raw candidate data'!O50="ok"),"ok","NOT VALID"))</f>
      </c>
      <c r="H48" s="563" t="b">
        <f>IF(G48="ok",'Raw FRM data'!S50)</f>
        <v>0</v>
      </c>
      <c r="I48" s="555">
        <f>IF(G48="ok",'Raw FRM data'!S50,"")</f>
      </c>
      <c r="J48" s="142">
        <f>IF(G48="ok",'Raw candidate data'!P50,"")</f>
      </c>
      <c r="K48" s="145">
        <f>IF($G48="ok",'Raw FRM data'!T50,"")</f>
      </c>
      <c r="L48" s="139">
        <f>IF($G48="ok",'Raw candidate data'!Q50,"")</f>
      </c>
      <c r="M48" s="390">
        <f>IF($G48="ok",'Raw FRM data'!U50,"")</f>
      </c>
      <c r="N48" s="542" t="b">
        <f>IF($G48="ok",'Raw candidate data'!R50)</f>
        <v>0</v>
      </c>
      <c r="O48" s="424">
        <f>IF($G48="ok",'Raw candidate data'!R50,"")</f>
      </c>
    </row>
    <row r="49" spans="2:15" ht="12.75">
      <c r="B49" s="605"/>
      <c r="C49" s="488">
        <v>41</v>
      </c>
      <c r="D49" s="134">
        <f>IF(ISBLANK('Raw FRM data'!D51),"",'Raw FRM data'!D51)</f>
      </c>
      <c r="E49" s="196">
        <f>IF(G49="ok",'Raw FRM data'!N51,"")</f>
      </c>
      <c r="F49" s="196">
        <f>IF(G49="ok",'Raw candidate data'!N51,"")</f>
      </c>
      <c r="G49" s="500">
        <f>IF(AND('Raw FRM data'!O51="",'Raw candidate data'!O51=""),"",IF(AND('Raw FRM data'!O51="ok",'Raw candidate data'!O51="ok"),"ok","NOT VALID"))</f>
      </c>
      <c r="H49" s="563" t="b">
        <f>IF(G49="ok",'Raw FRM data'!S51)</f>
        <v>0</v>
      </c>
      <c r="I49" s="555">
        <f>IF(G49="ok",'Raw FRM data'!S51,"")</f>
      </c>
      <c r="J49" s="142">
        <f>IF(G49="ok",'Raw candidate data'!P51,"")</f>
      </c>
      <c r="K49" s="145">
        <f>IF($G49="ok",'Raw FRM data'!T51,"")</f>
      </c>
      <c r="L49" s="139">
        <f>IF($G49="ok",'Raw candidate data'!Q51,"")</f>
      </c>
      <c r="M49" s="390">
        <f>IF($G49="ok",'Raw FRM data'!U51,"")</f>
      </c>
      <c r="N49" s="542" t="b">
        <f>IF($G49="ok",'Raw candidate data'!R51)</f>
        <v>0</v>
      </c>
      <c r="O49" s="424">
        <f>IF($G49="ok",'Raw candidate data'!R51,"")</f>
      </c>
    </row>
    <row r="50" spans="2:15" ht="12.75">
      <c r="B50" s="605"/>
      <c r="C50" s="488">
        <v>42</v>
      </c>
      <c r="D50" s="134">
        <f>IF(ISBLANK('Raw FRM data'!D52),"",'Raw FRM data'!D52)</f>
      </c>
      <c r="E50" s="196">
        <f>IF(G50="ok",'Raw FRM data'!N52,"")</f>
      </c>
      <c r="F50" s="196">
        <f>IF(G50="ok",'Raw candidate data'!N52,"")</f>
      </c>
      <c r="G50" s="500">
        <f>IF(AND('Raw FRM data'!O52="",'Raw candidate data'!O52=""),"",IF(AND('Raw FRM data'!O52="ok",'Raw candidate data'!O52="ok"),"ok","NOT VALID"))</f>
      </c>
      <c r="H50" s="563" t="b">
        <f>IF(G50="ok",'Raw FRM data'!S52)</f>
        <v>0</v>
      </c>
      <c r="I50" s="555">
        <f>IF(G50="ok",'Raw FRM data'!S52,"")</f>
      </c>
      <c r="J50" s="142">
        <f>IF(G50="ok",'Raw candidate data'!P52,"")</f>
      </c>
      <c r="K50" s="145">
        <f>IF($G50="ok",'Raw FRM data'!T52,"")</f>
      </c>
      <c r="L50" s="139">
        <f>IF($G50="ok",'Raw candidate data'!Q52,"")</f>
      </c>
      <c r="M50" s="390">
        <f>IF($G50="ok",'Raw FRM data'!U52,"")</f>
      </c>
      <c r="N50" s="542" t="b">
        <f>IF($G50="ok",'Raw candidate data'!R52)</f>
        <v>0</v>
      </c>
      <c r="O50" s="424">
        <f>IF($G50="ok",'Raw candidate data'!R52,"")</f>
      </c>
    </row>
    <row r="51" spans="2:15" ht="12.75">
      <c r="B51" s="605"/>
      <c r="C51" s="488">
        <v>43</v>
      </c>
      <c r="D51" s="134">
        <f>IF(ISBLANK('Raw FRM data'!D53),"",'Raw FRM data'!D53)</f>
      </c>
      <c r="E51" s="196">
        <f>IF(G51="ok",'Raw FRM data'!N53,"")</f>
      </c>
      <c r="F51" s="196">
        <f>IF(G51="ok",'Raw candidate data'!N53,"")</f>
      </c>
      <c r="G51" s="500">
        <f>IF(AND('Raw FRM data'!O53="",'Raw candidate data'!O53=""),"",IF(AND('Raw FRM data'!O53="ok",'Raw candidate data'!O53="ok"),"ok","NOT VALID"))</f>
      </c>
      <c r="H51" s="563" t="b">
        <f>IF(G51="ok",'Raw FRM data'!S53)</f>
        <v>0</v>
      </c>
      <c r="I51" s="555">
        <f>IF(G51="ok",'Raw FRM data'!S53,"")</f>
      </c>
      <c r="J51" s="142">
        <f>IF(G51="ok",'Raw candidate data'!P53,"")</f>
      </c>
      <c r="K51" s="145">
        <f>IF($G51="ok",'Raw FRM data'!T53,"")</f>
      </c>
      <c r="L51" s="139">
        <f>IF($G51="ok",'Raw candidate data'!Q53,"")</f>
      </c>
      <c r="M51" s="390">
        <f>IF($G51="ok",'Raw FRM data'!U53,"")</f>
      </c>
      <c r="N51" s="542" t="b">
        <f>IF($G51="ok",'Raw candidate data'!R53)</f>
        <v>0</v>
      </c>
      <c r="O51" s="424">
        <f>IF($G51="ok",'Raw candidate data'!R53,"")</f>
      </c>
    </row>
    <row r="52" spans="2:15" ht="12.75">
      <c r="B52" s="605"/>
      <c r="C52" s="488">
        <v>44</v>
      </c>
      <c r="D52" s="134">
        <f>IF(ISBLANK('Raw FRM data'!D54),"",'Raw FRM data'!D54)</f>
      </c>
      <c r="E52" s="196">
        <f>IF(G52="ok",'Raw FRM data'!N54,"")</f>
      </c>
      <c r="F52" s="196">
        <f>IF(G52="ok",'Raw candidate data'!N54,"")</f>
      </c>
      <c r="G52" s="500">
        <f>IF(AND('Raw FRM data'!O54="",'Raw candidate data'!O54=""),"",IF(AND('Raw FRM data'!O54="ok",'Raw candidate data'!O54="ok"),"ok","NOT VALID"))</f>
      </c>
      <c r="H52" s="563" t="b">
        <f>IF(G52="ok",'Raw FRM data'!S54)</f>
        <v>0</v>
      </c>
      <c r="I52" s="555">
        <f>IF(G52="ok",'Raw FRM data'!S54,"")</f>
      </c>
      <c r="J52" s="142">
        <f>IF(G52="ok",'Raw candidate data'!P54,"")</f>
      </c>
      <c r="K52" s="145">
        <f>IF($G52="ok",'Raw FRM data'!T54,"")</f>
      </c>
      <c r="L52" s="139">
        <f>IF($G52="ok",'Raw candidate data'!Q54,"")</f>
      </c>
      <c r="M52" s="390">
        <f>IF($G52="ok",'Raw FRM data'!U54,"")</f>
      </c>
      <c r="N52" s="542" t="b">
        <f>IF($G52="ok",'Raw candidate data'!R54)</f>
        <v>0</v>
      </c>
      <c r="O52" s="424">
        <f>IF($G52="ok",'Raw candidate data'!R54,"")</f>
      </c>
    </row>
    <row r="53" spans="2:15" ht="12.75">
      <c r="B53" s="605"/>
      <c r="C53" s="488">
        <v>45</v>
      </c>
      <c r="D53" s="134">
        <f>IF(ISBLANK('Raw FRM data'!D55),"",'Raw FRM data'!D55)</f>
      </c>
      <c r="E53" s="196">
        <f>IF(G53="ok",'Raw FRM data'!N55,"")</f>
      </c>
      <c r="F53" s="196">
        <f>IF(G53="ok",'Raw candidate data'!N55,"")</f>
      </c>
      <c r="G53" s="500">
        <f>IF(AND('Raw FRM data'!O55="",'Raw candidate data'!O55=""),"",IF(AND('Raw FRM data'!O55="ok",'Raw candidate data'!O55="ok"),"ok","NOT VALID"))</f>
      </c>
      <c r="H53" s="563" t="b">
        <f>IF(G53="ok",'Raw FRM data'!S55)</f>
        <v>0</v>
      </c>
      <c r="I53" s="555">
        <f>IF(G53="ok",'Raw FRM data'!S55,"")</f>
      </c>
      <c r="J53" s="142">
        <f>IF(G53="ok",'Raw candidate data'!P55,"")</f>
      </c>
      <c r="K53" s="145">
        <f>IF($G53="ok",'Raw FRM data'!T55,"")</f>
      </c>
      <c r="L53" s="139">
        <f>IF($G53="ok",'Raw candidate data'!Q55,"")</f>
      </c>
      <c r="M53" s="390">
        <f>IF($G53="ok",'Raw FRM data'!U55,"")</f>
      </c>
      <c r="N53" s="542" t="b">
        <f>IF($G53="ok",'Raw candidate data'!R55)</f>
        <v>0</v>
      </c>
      <c r="O53" s="424">
        <f>IF($G53="ok",'Raw candidate data'!R55,"")</f>
      </c>
    </row>
    <row r="54" spans="2:15" ht="13.5" thickBot="1">
      <c r="B54" s="606"/>
      <c r="C54" s="489">
        <v>46</v>
      </c>
      <c r="D54" s="135">
        <f>IF(ISBLANK('Raw FRM data'!D56),"",'Raw FRM data'!D56)</f>
      </c>
      <c r="E54" s="198">
        <f>IF(G54="ok",'Raw FRM data'!N56,"")</f>
      </c>
      <c r="F54" s="199">
        <f>IF(G54="ok",'Raw candidate data'!N56,"")</f>
      </c>
      <c r="G54" s="154">
        <f>IF(AND('Raw FRM data'!O56="",'Raw candidate data'!O56=""),"",IF(AND('Raw FRM data'!O56="ok",'Raw candidate data'!O56="ok"),"ok","NOT VALID"))</f>
      </c>
      <c r="H54" s="564" t="b">
        <f>IF(G54="ok",'Raw FRM data'!S56)</f>
        <v>0</v>
      </c>
      <c r="I54" s="556">
        <f>IF(G54="ok",'Raw FRM data'!S56,"")</f>
      </c>
      <c r="J54" s="151">
        <f>IF(G54="ok",'Raw candidate data'!P56,"")</f>
      </c>
      <c r="K54" s="152">
        <f>IF($G54="ok",'Raw FRM data'!T56,"")</f>
      </c>
      <c r="L54" s="153">
        <f>IF($G54="ok",'Raw candidate data'!Q56,"")</f>
      </c>
      <c r="M54" s="392">
        <f>IF($G54="ok",'Raw FRM data'!U56,"")</f>
      </c>
      <c r="N54" s="543" t="b">
        <f>IF($G54="ok",'Raw candidate data'!R56)</f>
        <v>0</v>
      </c>
      <c r="O54" s="425">
        <f>IF($G54="ok",'Raw candidate data'!R56,"")</f>
      </c>
    </row>
    <row r="55" spans="2:15" ht="12.75">
      <c r="B55" s="605" t="s">
        <v>15</v>
      </c>
      <c r="C55" s="72">
        <v>47</v>
      </c>
      <c r="D55" s="136">
        <f>IF(ISBLANK('Raw FRM data'!D57),"",'Raw FRM data'!D57)</f>
      </c>
      <c r="E55" s="196">
        <f>IF(G55="ok",'Raw FRM data'!N57,"")</f>
      </c>
      <c r="F55" s="196">
        <f>IF(G55="ok",'Raw candidate data'!N57,"")</f>
      </c>
      <c r="G55" s="560">
        <f>IF(AND('Raw FRM data'!O57="",'Raw candidate data'!O57=""),"",IF(AND('Raw FRM data'!O57="ok",'Raw candidate data'!O57="ok"),"ok","NOT VALID"))</f>
      </c>
      <c r="H55" s="565" t="b">
        <f>IF(G55="ok",'Raw FRM data'!S57)</f>
        <v>0</v>
      </c>
      <c r="I55" s="557">
        <f>IF(G55="ok",'Raw FRM data'!S57,"")</f>
      </c>
      <c r="J55" s="148">
        <f>IF(G55="ok",'Raw candidate data'!P57,"")</f>
      </c>
      <c r="K55" s="149">
        <f>IF($G55="ok",'Raw FRM data'!T57,"")</f>
      </c>
      <c r="L55" s="150">
        <f>IF($G55="ok",'Raw candidate data'!Q57,"")</f>
      </c>
      <c r="M55" s="391">
        <f>IF($G55="ok",'Raw FRM data'!U57,"")</f>
      </c>
      <c r="N55" s="541" t="b">
        <f>IF($G55="ok",'Raw candidate data'!R57)</f>
        <v>0</v>
      </c>
      <c r="O55" s="410">
        <f>IF($G55="ok",'Raw candidate data'!R57,"")</f>
      </c>
    </row>
    <row r="56" spans="2:15" ht="12.75">
      <c r="B56" s="605"/>
      <c r="C56" s="488">
        <v>48</v>
      </c>
      <c r="D56" s="136">
        <f>IF(ISBLANK('Raw FRM data'!D58),"",'Raw FRM data'!D58)</f>
      </c>
      <c r="E56" s="196">
        <f>IF(G56="ok",'Raw FRM data'!N58,"")</f>
      </c>
      <c r="F56" s="196">
        <f>IF(G56="ok",'Raw candidate data'!N58,"")</f>
      </c>
      <c r="G56" s="560">
        <f>IF(AND('Raw FRM data'!O58="",'Raw candidate data'!O58=""),"",IF(AND('Raw FRM data'!O58="ok",'Raw candidate data'!O58="ok"),"ok","NOT VALID"))</f>
      </c>
      <c r="H56" s="565" t="b">
        <f>IF(G56="ok",'Raw FRM data'!S58)</f>
        <v>0</v>
      </c>
      <c r="I56" s="557">
        <f>IF(G56="ok",'Raw FRM data'!S58,"")</f>
      </c>
      <c r="J56" s="148">
        <f>IF(G56="ok",'Raw candidate data'!P58,"")</f>
      </c>
      <c r="K56" s="149">
        <f>IF($G56="ok",'Raw FRM data'!T58,"")</f>
      </c>
      <c r="L56" s="150">
        <f>IF($G56="ok",'Raw candidate data'!Q58,"")</f>
      </c>
      <c r="M56" s="391">
        <f>IF($G56="ok",'Raw FRM data'!U58,"")</f>
      </c>
      <c r="N56" s="541" t="b">
        <f>IF($G56="ok",'Raw candidate data'!R58)</f>
        <v>0</v>
      </c>
      <c r="O56" s="410">
        <f>IF($G56="ok",'Raw candidate data'!R58,"")</f>
      </c>
    </row>
    <row r="57" spans="2:15" ht="12.75">
      <c r="B57" s="605"/>
      <c r="C57" s="488">
        <v>49</v>
      </c>
      <c r="D57" s="136">
        <f>IF(ISBLANK('Raw FRM data'!D59),"",'Raw FRM data'!D59)</f>
      </c>
      <c r="E57" s="196">
        <f>IF(G57="ok",'Raw FRM data'!N59,"")</f>
      </c>
      <c r="F57" s="196">
        <f>IF(G57="ok",'Raw candidate data'!N59,"")</f>
      </c>
      <c r="G57" s="560">
        <f>IF(AND('Raw FRM data'!O59="",'Raw candidate data'!O59=""),"",IF(AND('Raw FRM data'!O59="ok",'Raw candidate data'!O59="ok"),"ok","NOT VALID"))</f>
      </c>
      <c r="H57" s="565" t="b">
        <f>IF(G57="ok",'Raw FRM data'!S59)</f>
        <v>0</v>
      </c>
      <c r="I57" s="557">
        <f>IF(G57="ok",'Raw FRM data'!S59,"")</f>
      </c>
      <c r="J57" s="148">
        <f>IF(G57="ok",'Raw candidate data'!P59,"")</f>
      </c>
      <c r="K57" s="149">
        <f>IF($G57="ok",'Raw FRM data'!T59,"")</f>
      </c>
      <c r="L57" s="150">
        <f>IF($G57="ok",'Raw candidate data'!Q59,"")</f>
      </c>
      <c r="M57" s="391">
        <f>IF($G57="ok",'Raw FRM data'!U59,"")</f>
      </c>
      <c r="N57" s="541" t="b">
        <f>IF($G57="ok",'Raw candidate data'!R59)</f>
        <v>0</v>
      </c>
      <c r="O57" s="410">
        <f>IF($G57="ok",'Raw candidate data'!R59,"")</f>
      </c>
    </row>
    <row r="58" spans="2:15" ht="12.75">
      <c r="B58" s="605"/>
      <c r="C58" s="488">
        <v>50</v>
      </c>
      <c r="D58" s="136">
        <f>IF(ISBLANK('Raw FRM data'!D60),"",'Raw FRM data'!D60)</f>
      </c>
      <c r="E58" s="196">
        <f>IF(G58="ok",'Raw FRM data'!N60,"")</f>
      </c>
      <c r="F58" s="196">
        <f>IF(G58="ok",'Raw candidate data'!N60,"")</f>
      </c>
      <c r="G58" s="560">
        <f>IF(AND('Raw FRM data'!O60="",'Raw candidate data'!O60=""),"",IF(AND('Raw FRM data'!O60="ok",'Raw candidate data'!O60="ok"),"ok","NOT VALID"))</f>
      </c>
      <c r="H58" s="565" t="b">
        <f>IF(G58="ok",'Raw FRM data'!S60)</f>
        <v>0</v>
      </c>
      <c r="I58" s="557">
        <f>IF(G58="ok",'Raw FRM data'!S60,"")</f>
      </c>
      <c r="J58" s="148">
        <f>IF(G58="ok",'Raw candidate data'!P60,"")</f>
      </c>
      <c r="K58" s="149">
        <f>IF($G58="ok",'Raw FRM data'!T60,"")</f>
      </c>
      <c r="L58" s="150">
        <f>IF($G58="ok",'Raw candidate data'!Q60,"")</f>
      </c>
      <c r="M58" s="391">
        <f>IF($G58="ok",'Raw FRM data'!U60,"")</f>
      </c>
      <c r="N58" s="541" t="b">
        <f>IF($G58="ok",'Raw candidate data'!R60)</f>
        <v>0</v>
      </c>
      <c r="O58" s="410">
        <f>IF($G58="ok",'Raw candidate data'!R60,"")</f>
      </c>
    </row>
    <row r="59" spans="2:15" ht="12.75">
      <c r="B59" s="605"/>
      <c r="C59" s="488">
        <v>51</v>
      </c>
      <c r="D59" s="136">
        <f>IF(ISBLANK('Raw FRM data'!D61),"",'Raw FRM data'!D61)</f>
      </c>
      <c r="E59" s="196">
        <f>IF(G59="ok",'Raw FRM data'!N61,"")</f>
      </c>
      <c r="F59" s="196">
        <f>IF(G59="ok",'Raw candidate data'!N61,"")</f>
      </c>
      <c r="G59" s="560">
        <f>IF(AND('Raw FRM data'!O61="",'Raw candidate data'!O61=""),"",IF(AND('Raw FRM data'!O61="ok",'Raw candidate data'!O61="ok"),"ok","NOT VALID"))</f>
      </c>
      <c r="H59" s="565" t="b">
        <f>IF(G59="ok",'Raw FRM data'!S61)</f>
        <v>0</v>
      </c>
      <c r="I59" s="557">
        <f>IF(G59="ok",'Raw FRM data'!S61,"")</f>
      </c>
      <c r="J59" s="148">
        <f>IF(G59="ok",'Raw candidate data'!P61,"")</f>
      </c>
      <c r="K59" s="149">
        <f>IF($G59="ok",'Raw FRM data'!T61,"")</f>
      </c>
      <c r="L59" s="150">
        <f>IF($G59="ok",'Raw candidate data'!Q61,"")</f>
      </c>
      <c r="M59" s="391">
        <f>IF($G59="ok",'Raw FRM data'!U61,"")</f>
      </c>
      <c r="N59" s="541" t="b">
        <f>IF($G59="ok",'Raw candidate data'!R61)</f>
        <v>0</v>
      </c>
      <c r="O59" s="410">
        <f>IF($G59="ok",'Raw candidate data'!R61,"")</f>
      </c>
    </row>
    <row r="60" spans="2:15" ht="12.75">
      <c r="B60" s="605"/>
      <c r="C60" s="488">
        <v>52</v>
      </c>
      <c r="D60" s="136">
        <f>IF(ISBLANK('Raw FRM data'!D62),"",'Raw FRM data'!D62)</f>
      </c>
      <c r="E60" s="196">
        <f>IF(G60="ok",'Raw FRM data'!N62,"")</f>
      </c>
      <c r="F60" s="196">
        <f>IF(G60="ok",'Raw candidate data'!N62,"")</f>
      </c>
      <c r="G60" s="560">
        <f>IF(AND('Raw FRM data'!O62="",'Raw candidate data'!O62=""),"",IF(AND('Raw FRM data'!O62="ok",'Raw candidate data'!O62="ok"),"ok","NOT VALID"))</f>
      </c>
      <c r="H60" s="565" t="b">
        <f>IF(G60="ok",'Raw FRM data'!S62)</f>
        <v>0</v>
      </c>
      <c r="I60" s="557">
        <f>IF(G60="ok",'Raw FRM data'!S62,"")</f>
      </c>
      <c r="J60" s="148">
        <f>IF(G60="ok",'Raw candidate data'!P62,"")</f>
      </c>
      <c r="K60" s="149">
        <f>IF($G60="ok",'Raw FRM data'!T62,"")</f>
      </c>
      <c r="L60" s="150">
        <f>IF($G60="ok",'Raw candidate data'!Q62,"")</f>
      </c>
      <c r="M60" s="391">
        <f>IF($G60="ok",'Raw FRM data'!U62,"")</f>
      </c>
      <c r="N60" s="541" t="b">
        <f>IF($G60="ok",'Raw candidate data'!R62)</f>
        <v>0</v>
      </c>
      <c r="O60" s="410">
        <f>IF($G60="ok",'Raw candidate data'!R62,"")</f>
      </c>
    </row>
    <row r="61" spans="2:15" ht="12.75">
      <c r="B61" s="605"/>
      <c r="C61" s="488">
        <v>53</v>
      </c>
      <c r="D61" s="136">
        <f>IF(ISBLANK('Raw FRM data'!D63),"",'Raw FRM data'!D63)</f>
      </c>
      <c r="E61" s="196">
        <f>IF(G61="ok",'Raw FRM data'!N63,"")</f>
      </c>
      <c r="F61" s="196">
        <f>IF(G61="ok",'Raw candidate data'!N63,"")</f>
      </c>
      <c r="G61" s="560">
        <f>IF(AND('Raw FRM data'!O63="",'Raw candidate data'!O63=""),"",IF(AND('Raw FRM data'!O63="ok",'Raw candidate data'!O63="ok"),"ok","NOT VALID"))</f>
      </c>
      <c r="H61" s="565" t="b">
        <f>IF(G61="ok",'Raw FRM data'!S63)</f>
        <v>0</v>
      </c>
      <c r="I61" s="557">
        <f>IF(G61="ok",'Raw FRM data'!S63,"")</f>
      </c>
      <c r="J61" s="148">
        <f>IF(G61="ok",'Raw candidate data'!P63,"")</f>
      </c>
      <c r="K61" s="149">
        <f>IF($G61="ok",'Raw FRM data'!T63,"")</f>
      </c>
      <c r="L61" s="150">
        <f>IF($G61="ok",'Raw candidate data'!Q63,"")</f>
      </c>
      <c r="M61" s="391">
        <f>IF($G61="ok",'Raw FRM data'!U63,"")</f>
      </c>
      <c r="N61" s="541" t="b">
        <f>IF($G61="ok",'Raw candidate data'!R63)</f>
        <v>0</v>
      </c>
      <c r="O61" s="410">
        <f>IF($G61="ok",'Raw candidate data'!R63,"")</f>
      </c>
    </row>
    <row r="62" spans="2:15" ht="12.75">
      <c r="B62" s="605"/>
      <c r="C62" s="488">
        <v>54</v>
      </c>
      <c r="D62" s="136">
        <f>IF(ISBLANK('Raw FRM data'!D64),"",'Raw FRM data'!D64)</f>
      </c>
      <c r="E62" s="196">
        <f>IF(G62="ok",'Raw FRM data'!N64,"")</f>
      </c>
      <c r="F62" s="196">
        <f>IF(G62="ok",'Raw candidate data'!N64,"")</f>
      </c>
      <c r="G62" s="560">
        <f>IF(AND('Raw FRM data'!O64="",'Raw candidate data'!O64=""),"",IF(AND('Raw FRM data'!O64="ok",'Raw candidate data'!O64="ok"),"ok","NOT VALID"))</f>
      </c>
      <c r="H62" s="565" t="b">
        <f>IF(G62="ok",'Raw FRM data'!S64)</f>
        <v>0</v>
      </c>
      <c r="I62" s="557">
        <f>IF(G62="ok",'Raw FRM data'!S64,"")</f>
      </c>
      <c r="J62" s="148">
        <f>IF(G62="ok",'Raw candidate data'!P64,"")</f>
      </c>
      <c r="K62" s="149">
        <f>IF($G62="ok",'Raw FRM data'!T64,"")</f>
      </c>
      <c r="L62" s="150">
        <f>IF($G62="ok",'Raw candidate data'!Q64,"")</f>
      </c>
      <c r="M62" s="391">
        <f>IF($G62="ok",'Raw FRM data'!U64,"")</f>
      </c>
      <c r="N62" s="541" t="b">
        <f>IF($G62="ok",'Raw candidate data'!R64)</f>
        <v>0</v>
      </c>
      <c r="O62" s="410">
        <f>IF($G62="ok",'Raw candidate data'!R64,"")</f>
      </c>
    </row>
    <row r="63" spans="2:15" ht="12.75">
      <c r="B63" s="605"/>
      <c r="C63" s="488">
        <v>55</v>
      </c>
      <c r="D63" s="136">
        <f>IF(ISBLANK('Raw FRM data'!D65),"",'Raw FRM data'!D65)</f>
      </c>
      <c r="E63" s="196">
        <f>IF(G63="ok",'Raw FRM data'!N65,"")</f>
      </c>
      <c r="F63" s="196">
        <f>IF(G63="ok",'Raw candidate data'!N65,"")</f>
      </c>
      <c r="G63" s="560">
        <f>IF(AND('Raw FRM data'!O65="",'Raw candidate data'!O65=""),"",IF(AND('Raw FRM data'!O65="ok",'Raw candidate data'!O65="ok"),"ok","NOT VALID"))</f>
      </c>
      <c r="H63" s="565" t="b">
        <f>IF(G63="ok",'Raw FRM data'!S65)</f>
        <v>0</v>
      </c>
      <c r="I63" s="557">
        <f>IF(G63="ok",'Raw FRM data'!S65,"")</f>
      </c>
      <c r="J63" s="148">
        <f>IF(G63="ok",'Raw candidate data'!P65,"")</f>
      </c>
      <c r="K63" s="149">
        <f>IF($G63="ok",'Raw FRM data'!T65,"")</f>
      </c>
      <c r="L63" s="150">
        <f>IF($G63="ok",'Raw candidate data'!Q65,"")</f>
      </c>
      <c r="M63" s="391">
        <f>IF($G63="ok",'Raw FRM data'!U65,"")</f>
      </c>
      <c r="N63" s="541" t="b">
        <f>IF($G63="ok",'Raw candidate data'!R65)</f>
        <v>0</v>
      </c>
      <c r="O63" s="410">
        <f>IF($G63="ok",'Raw candidate data'!R65,"")</f>
      </c>
    </row>
    <row r="64" spans="2:15" ht="12.75">
      <c r="B64" s="605"/>
      <c r="C64" s="488">
        <v>56</v>
      </c>
      <c r="D64" s="136">
        <f>IF(ISBLANK('Raw FRM data'!D66),"",'Raw FRM data'!D66)</f>
      </c>
      <c r="E64" s="196">
        <f>IF(G64="ok",'Raw FRM data'!N66,"")</f>
      </c>
      <c r="F64" s="196">
        <f>IF(G64="ok",'Raw candidate data'!N66,"")</f>
      </c>
      <c r="G64" s="560">
        <f>IF(AND('Raw FRM data'!O66="",'Raw candidate data'!O66=""),"",IF(AND('Raw FRM data'!O66="ok",'Raw candidate data'!O66="ok"),"ok","NOT VALID"))</f>
      </c>
      <c r="H64" s="565" t="b">
        <f>IF(G64="ok",'Raw FRM data'!S66)</f>
        <v>0</v>
      </c>
      <c r="I64" s="557">
        <f>IF(G64="ok",'Raw FRM data'!S66,"")</f>
      </c>
      <c r="J64" s="148">
        <f>IF(G64="ok",'Raw candidate data'!P66,"")</f>
      </c>
      <c r="K64" s="149">
        <f>IF($G64="ok",'Raw FRM data'!T66,"")</f>
      </c>
      <c r="L64" s="150">
        <f>IF($G64="ok",'Raw candidate data'!Q66,"")</f>
      </c>
      <c r="M64" s="391">
        <f>IF($G64="ok",'Raw FRM data'!U66,"")</f>
      </c>
      <c r="N64" s="541" t="b">
        <f>IF($G64="ok",'Raw candidate data'!R66)</f>
        <v>0</v>
      </c>
      <c r="O64" s="410">
        <f>IF($G64="ok",'Raw candidate data'!R66,"")</f>
      </c>
    </row>
    <row r="65" spans="2:15" ht="12.75">
      <c r="B65" s="605"/>
      <c r="C65" s="488">
        <v>57</v>
      </c>
      <c r="D65" s="136">
        <f>IF(ISBLANK('Raw FRM data'!D67),"",'Raw FRM data'!D67)</f>
      </c>
      <c r="E65" s="196">
        <f>IF(G65="ok",'Raw FRM data'!N67,"")</f>
      </c>
      <c r="F65" s="196">
        <f>IF(G65="ok",'Raw candidate data'!N67,"")</f>
      </c>
      <c r="G65" s="560">
        <f>IF(AND('Raw FRM data'!O67="",'Raw candidate data'!O67=""),"",IF(AND('Raw FRM data'!O67="ok",'Raw candidate data'!O67="ok"),"ok","NOT VALID"))</f>
      </c>
      <c r="H65" s="565" t="b">
        <f>IF(G65="ok",'Raw FRM data'!S67)</f>
        <v>0</v>
      </c>
      <c r="I65" s="557">
        <f>IF(G65="ok",'Raw FRM data'!S67,"")</f>
      </c>
      <c r="J65" s="148">
        <f>IF(G65="ok",'Raw candidate data'!P67,"")</f>
      </c>
      <c r="K65" s="149">
        <f>IF($G65="ok",'Raw FRM data'!T67,"")</f>
      </c>
      <c r="L65" s="150">
        <f>IF($G65="ok",'Raw candidate data'!Q67,"")</f>
      </c>
      <c r="M65" s="391">
        <f>IF($G65="ok",'Raw FRM data'!U67,"")</f>
      </c>
      <c r="N65" s="541" t="b">
        <f>IF($G65="ok",'Raw candidate data'!R67)</f>
        <v>0</v>
      </c>
      <c r="O65" s="410">
        <f>IF($G65="ok",'Raw candidate data'!R67,"")</f>
      </c>
    </row>
    <row r="66" spans="2:15" ht="12.75">
      <c r="B66" s="605"/>
      <c r="C66" s="488">
        <v>58</v>
      </c>
      <c r="D66" s="136">
        <f>IF(ISBLANK('Raw FRM data'!D68),"",'Raw FRM data'!D68)</f>
      </c>
      <c r="E66" s="196">
        <f>IF(G66="ok",'Raw FRM data'!N68,"")</f>
      </c>
      <c r="F66" s="196">
        <f>IF(G66="ok",'Raw candidate data'!N68,"")</f>
      </c>
      <c r="G66" s="560">
        <f>IF(AND('Raw FRM data'!O68="",'Raw candidate data'!O68=""),"",IF(AND('Raw FRM data'!O68="ok",'Raw candidate data'!O68="ok"),"ok","NOT VALID"))</f>
      </c>
      <c r="H66" s="565" t="b">
        <f>IF(G66="ok",'Raw FRM data'!S68)</f>
        <v>0</v>
      </c>
      <c r="I66" s="557">
        <f>IF(G66="ok",'Raw FRM data'!S68,"")</f>
      </c>
      <c r="J66" s="148">
        <f>IF(G66="ok",'Raw candidate data'!P68,"")</f>
      </c>
      <c r="K66" s="149">
        <f>IF($G66="ok",'Raw FRM data'!T68,"")</f>
      </c>
      <c r="L66" s="150">
        <f>IF($G66="ok",'Raw candidate data'!Q68,"")</f>
      </c>
      <c r="M66" s="391">
        <f>IF($G66="ok",'Raw FRM data'!U68,"")</f>
      </c>
      <c r="N66" s="541" t="b">
        <f>IF($G66="ok",'Raw candidate data'!R68)</f>
        <v>0</v>
      </c>
      <c r="O66" s="410">
        <f>IF($G66="ok",'Raw candidate data'!R68,"")</f>
      </c>
    </row>
    <row r="67" spans="2:15" ht="12.75">
      <c r="B67" s="605"/>
      <c r="C67" s="488">
        <v>59</v>
      </c>
      <c r="D67" s="136">
        <f>IF(ISBLANK('Raw FRM data'!D69),"",'Raw FRM data'!D69)</f>
      </c>
      <c r="E67" s="196">
        <f>IF(G67="ok",'Raw FRM data'!N69,"")</f>
      </c>
      <c r="F67" s="196">
        <f>IF(G67="ok",'Raw candidate data'!N69,"")</f>
      </c>
      <c r="G67" s="560">
        <f>IF(AND('Raw FRM data'!O69="",'Raw candidate data'!O69=""),"",IF(AND('Raw FRM data'!O69="ok",'Raw candidate data'!O69="ok"),"ok","NOT VALID"))</f>
      </c>
      <c r="H67" s="565" t="b">
        <f>IF(G67="ok",'Raw FRM data'!S69)</f>
        <v>0</v>
      </c>
      <c r="I67" s="557">
        <f>IF(G67="ok",'Raw FRM data'!S69,"")</f>
      </c>
      <c r="J67" s="148">
        <f>IF(G67="ok",'Raw candidate data'!P69,"")</f>
      </c>
      <c r="K67" s="149">
        <f>IF($G67="ok",'Raw FRM data'!T69,"")</f>
      </c>
      <c r="L67" s="150">
        <f>IF($G67="ok",'Raw candidate data'!Q69,"")</f>
      </c>
      <c r="M67" s="391">
        <f>IF($G67="ok",'Raw FRM data'!U69,"")</f>
      </c>
      <c r="N67" s="541" t="b">
        <f>IF($G67="ok",'Raw candidate data'!R69)</f>
        <v>0</v>
      </c>
      <c r="O67" s="410">
        <f>IF($G67="ok",'Raw candidate data'!R69,"")</f>
      </c>
    </row>
    <row r="68" spans="2:15" ht="12.75">
      <c r="B68" s="605"/>
      <c r="C68" s="488">
        <v>60</v>
      </c>
      <c r="D68" s="136">
        <f>IF(ISBLANK('Raw FRM data'!D70),"",'Raw FRM data'!D70)</f>
      </c>
      <c r="E68" s="196">
        <f>IF(G68="ok",'Raw FRM data'!N70,"")</f>
      </c>
      <c r="F68" s="196">
        <f>IF(G68="ok",'Raw candidate data'!N70,"")</f>
      </c>
      <c r="G68" s="560">
        <f>IF(AND('Raw FRM data'!O70="",'Raw candidate data'!O70=""),"",IF(AND('Raw FRM data'!O70="ok",'Raw candidate data'!O70="ok"),"ok","NOT VALID"))</f>
      </c>
      <c r="H68" s="565" t="b">
        <f>IF(G68="ok",'Raw FRM data'!S70)</f>
        <v>0</v>
      </c>
      <c r="I68" s="557">
        <f>IF(G68="ok",'Raw FRM data'!S70,"")</f>
      </c>
      <c r="J68" s="148">
        <f>IF(G68="ok",'Raw candidate data'!P70,"")</f>
      </c>
      <c r="K68" s="149">
        <f>IF($G68="ok",'Raw FRM data'!T70,"")</f>
      </c>
      <c r="L68" s="150">
        <f>IF($G68="ok",'Raw candidate data'!Q70,"")</f>
      </c>
      <c r="M68" s="391">
        <f>IF($G68="ok",'Raw FRM data'!U70,"")</f>
      </c>
      <c r="N68" s="541" t="b">
        <f>IF($G68="ok",'Raw candidate data'!R70)</f>
        <v>0</v>
      </c>
      <c r="O68" s="410">
        <f>IF($G68="ok",'Raw candidate data'!R70,"")</f>
      </c>
    </row>
    <row r="69" spans="2:15" ht="12.75">
      <c r="B69" s="605"/>
      <c r="C69" s="488">
        <v>61</v>
      </c>
      <c r="D69" s="136">
        <f>IF(ISBLANK('Raw FRM data'!D71),"",'Raw FRM data'!D71)</f>
      </c>
      <c r="E69" s="196">
        <f>IF(G69="ok",'Raw FRM data'!N71,"")</f>
      </c>
      <c r="F69" s="196">
        <f>IF(G69="ok",'Raw candidate data'!N71,"")</f>
      </c>
      <c r="G69" s="560">
        <f>IF(AND('Raw FRM data'!O71="",'Raw candidate data'!O71=""),"",IF(AND('Raw FRM data'!O71="ok",'Raw candidate data'!O71="ok"),"ok","NOT VALID"))</f>
      </c>
      <c r="H69" s="565" t="b">
        <f>IF(G69="ok",'Raw FRM data'!S71)</f>
        <v>0</v>
      </c>
      <c r="I69" s="557">
        <f>IF(G69="ok",'Raw FRM data'!S71,"")</f>
      </c>
      <c r="J69" s="148">
        <f>IF(G69="ok",'Raw candidate data'!P71,"")</f>
      </c>
      <c r="K69" s="149">
        <f>IF($G69="ok",'Raw FRM data'!T71,"")</f>
      </c>
      <c r="L69" s="150">
        <f>IF($G69="ok",'Raw candidate data'!Q71,"")</f>
      </c>
      <c r="M69" s="391">
        <f>IF($G69="ok",'Raw FRM data'!U71,"")</f>
      </c>
      <c r="N69" s="541" t="b">
        <f>IF($G69="ok",'Raw candidate data'!R71)</f>
        <v>0</v>
      </c>
      <c r="O69" s="410">
        <f>IF($G69="ok",'Raw candidate data'!R71,"")</f>
      </c>
    </row>
    <row r="70" spans="2:15" ht="12.75">
      <c r="B70" s="605"/>
      <c r="C70" s="488">
        <v>62</v>
      </c>
      <c r="D70" s="136">
        <f>IF(ISBLANK('Raw FRM data'!D72),"",'Raw FRM data'!D72)</f>
      </c>
      <c r="E70" s="196">
        <f>IF(G70="ok",'Raw FRM data'!N72,"")</f>
      </c>
      <c r="F70" s="196">
        <f>IF(G70="ok",'Raw candidate data'!N72,"")</f>
      </c>
      <c r="G70" s="560">
        <f>IF(AND('Raw FRM data'!O72="",'Raw candidate data'!O72=""),"",IF(AND('Raw FRM data'!O72="ok",'Raw candidate data'!O72="ok"),"ok","NOT VALID"))</f>
      </c>
      <c r="H70" s="565" t="b">
        <f>IF(G70="ok",'Raw FRM data'!S72)</f>
        <v>0</v>
      </c>
      <c r="I70" s="557">
        <f>IF(G70="ok",'Raw FRM data'!S72,"")</f>
      </c>
      <c r="J70" s="148">
        <f>IF(G70="ok",'Raw candidate data'!P72,"")</f>
      </c>
      <c r="K70" s="149">
        <f>IF($G70="ok",'Raw FRM data'!T72,"")</f>
      </c>
      <c r="L70" s="150">
        <f>IF($G70="ok",'Raw candidate data'!Q72,"")</f>
      </c>
      <c r="M70" s="391">
        <f>IF($G70="ok",'Raw FRM data'!U72,"")</f>
      </c>
      <c r="N70" s="541" t="b">
        <f>IF($G70="ok",'Raw candidate data'!R72)</f>
        <v>0</v>
      </c>
      <c r="O70" s="410">
        <f>IF($G70="ok",'Raw candidate data'!R72,"")</f>
      </c>
    </row>
    <row r="71" spans="2:15" ht="12.75">
      <c r="B71" s="605"/>
      <c r="C71" s="488">
        <v>63</v>
      </c>
      <c r="D71" s="136">
        <f>IF(ISBLANK('Raw FRM data'!D73),"",'Raw FRM data'!D73)</f>
      </c>
      <c r="E71" s="196">
        <f>IF(G71="ok",'Raw FRM data'!N73,"")</f>
      </c>
      <c r="F71" s="196">
        <f>IF(G71="ok",'Raw candidate data'!N73,"")</f>
      </c>
      <c r="G71" s="560">
        <f>IF(AND('Raw FRM data'!O73="",'Raw candidate data'!O73=""),"",IF(AND('Raw FRM data'!O73="ok",'Raw candidate data'!O73="ok"),"ok","NOT VALID"))</f>
      </c>
      <c r="H71" s="565" t="b">
        <f>IF(G71="ok",'Raw FRM data'!S73)</f>
        <v>0</v>
      </c>
      <c r="I71" s="557">
        <f>IF(G71="ok",'Raw FRM data'!S73,"")</f>
      </c>
      <c r="J71" s="148">
        <f>IF(G71="ok",'Raw candidate data'!P73,"")</f>
      </c>
      <c r="K71" s="149">
        <f>IF($G71="ok",'Raw FRM data'!T73,"")</f>
      </c>
      <c r="L71" s="150">
        <f>IF($G71="ok",'Raw candidate data'!Q73,"")</f>
      </c>
      <c r="M71" s="391">
        <f>IF($G71="ok",'Raw FRM data'!U73,"")</f>
      </c>
      <c r="N71" s="541" t="b">
        <f>IF($G71="ok",'Raw candidate data'!R73)</f>
        <v>0</v>
      </c>
      <c r="O71" s="410">
        <f>IF($G71="ok",'Raw candidate data'!R73,"")</f>
      </c>
    </row>
    <row r="72" spans="2:15" ht="12.75">
      <c r="B72" s="605"/>
      <c r="C72" s="488">
        <v>64</v>
      </c>
      <c r="D72" s="136">
        <f>IF(ISBLANK('Raw FRM data'!D74),"",'Raw FRM data'!D74)</f>
      </c>
      <c r="E72" s="196">
        <f>IF(G72="ok",'Raw FRM data'!N74,"")</f>
      </c>
      <c r="F72" s="196">
        <f>IF(G72="ok",'Raw candidate data'!N74,"")</f>
      </c>
      <c r="G72" s="560">
        <f>IF(AND('Raw FRM data'!O74="",'Raw candidate data'!O74=""),"",IF(AND('Raw FRM data'!O74="ok",'Raw candidate data'!O74="ok"),"ok","NOT VALID"))</f>
      </c>
      <c r="H72" s="565" t="b">
        <f>IF(G72="ok",'Raw FRM data'!S74)</f>
        <v>0</v>
      </c>
      <c r="I72" s="557">
        <f>IF(G72="ok",'Raw FRM data'!S74,"")</f>
      </c>
      <c r="J72" s="148">
        <f>IF(G72="ok",'Raw candidate data'!P74,"")</f>
      </c>
      <c r="K72" s="149">
        <f>IF($G72="ok",'Raw FRM data'!T74,"")</f>
      </c>
      <c r="L72" s="150">
        <f>IF($G72="ok",'Raw candidate data'!Q74,"")</f>
      </c>
      <c r="M72" s="391">
        <f>IF($G72="ok",'Raw FRM data'!U74,"")</f>
      </c>
      <c r="N72" s="541" t="b">
        <f>IF($G72="ok",'Raw candidate data'!R74)</f>
        <v>0</v>
      </c>
      <c r="O72" s="410">
        <f>IF($G72="ok",'Raw candidate data'!R74,"")</f>
      </c>
    </row>
    <row r="73" spans="2:15" ht="12.75">
      <c r="B73" s="605"/>
      <c r="C73" s="488">
        <v>65</v>
      </c>
      <c r="D73" s="136">
        <f>IF(ISBLANK('Raw FRM data'!D75),"",'Raw FRM data'!D75)</f>
      </c>
      <c r="E73" s="196">
        <f>IF(G73="ok",'Raw FRM data'!N75,"")</f>
      </c>
      <c r="F73" s="196">
        <f>IF(G73="ok",'Raw candidate data'!N75,"")</f>
      </c>
      <c r="G73" s="560">
        <f>IF(AND('Raw FRM data'!O75="",'Raw candidate data'!O75=""),"",IF(AND('Raw FRM data'!O75="ok",'Raw candidate data'!O75="ok"),"ok","NOT VALID"))</f>
      </c>
      <c r="H73" s="565" t="b">
        <f>IF(G73="ok",'Raw FRM data'!S75)</f>
        <v>0</v>
      </c>
      <c r="I73" s="557">
        <f>IF(G73="ok",'Raw FRM data'!S75,"")</f>
      </c>
      <c r="J73" s="148">
        <f>IF(G73="ok",'Raw candidate data'!P75,"")</f>
      </c>
      <c r="K73" s="149">
        <f>IF($G73="ok",'Raw FRM data'!T75,"")</f>
      </c>
      <c r="L73" s="150">
        <f>IF($G73="ok",'Raw candidate data'!Q75,"")</f>
      </c>
      <c r="M73" s="391">
        <f>IF($G73="ok",'Raw FRM data'!U75,"")</f>
      </c>
      <c r="N73" s="541" t="b">
        <f>IF($G73="ok",'Raw candidate data'!R75)</f>
        <v>0</v>
      </c>
      <c r="O73" s="410">
        <f>IF($G73="ok",'Raw candidate data'!R75,"")</f>
      </c>
    </row>
    <row r="74" spans="2:15" ht="12.75">
      <c r="B74" s="605"/>
      <c r="C74" s="488">
        <v>66</v>
      </c>
      <c r="D74" s="136">
        <f>IF(ISBLANK('Raw FRM data'!D76),"",'Raw FRM data'!D76)</f>
      </c>
      <c r="E74" s="196">
        <f>IF(G74="ok",'Raw FRM data'!N76,"")</f>
      </c>
      <c r="F74" s="196">
        <f>IF(G74="ok",'Raw candidate data'!N76,"")</f>
      </c>
      <c r="G74" s="560">
        <f>IF(AND('Raw FRM data'!O76="",'Raw candidate data'!O76=""),"",IF(AND('Raw FRM data'!O76="ok",'Raw candidate data'!O76="ok"),"ok","NOT VALID"))</f>
      </c>
      <c r="H74" s="565" t="b">
        <f>IF(G74="ok",'Raw FRM data'!S76)</f>
        <v>0</v>
      </c>
      <c r="I74" s="557">
        <f>IF(G74="ok",'Raw FRM data'!S76,"")</f>
      </c>
      <c r="J74" s="148">
        <f>IF(G74="ok",'Raw candidate data'!P76,"")</f>
      </c>
      <c r="K74" s="149">
        <f>IF($G74="ok",'Raw FRM data'!T76,"")</f>
      </c>
      <c r="L74" s="150">
        <f>IF($G74="ok",'Raw candidate data'!Q76,"")</f>
      </c>
      <c r="M74" s="391">
        <f>IF($G74="ok",'Raw FRM data'!U76,"")</f>
      </c>
      <c r="N74" s="541" t="b">
        <f>IF($G74="ok",'Raw candidate data'!R76)</f>
        <v>0</v>
      </c>
      <c r="O74" s="410">
        <f>IF($G74="ok",'Raw candidate data'!R76,"")</f>
      </c>
    </row>
    <row r="75" spans="2:15" ht="12.75">
      <c r="B75" s="605"/>
      <c r="C75" s="488">
        <v>67</v>
      </c>
      <c r="D75" s="136">
        <f>IF(ISBLANK('Raw FRM data'!D77),"",'Raw FRM data'!D77)</f>
      </c>
      <c r="E75" s="196">
        <f>IF(G75="ok",'Raw FRM data'!N77,"")</f>
      </c>
      <c r="F75" s="196">
        <f>IF(G75="ok",'Raw candidate data'!N77,"")</f>
      </c>
      <c r="G75" s="560">
        <f>IF(AND('Raw FRM data'!O77="",'Raw candidate data'!O77=""),"",IF(AND('Raw FRM data'!O77="ok",'Raw candidate data'!O77="ok"),"ok","NOT VALID"))</f>
      </c>
      <c r="H75" s="565" t="b">
        <f>IF(G75="ok",'Raw FRM data'!S77)</f>
        <v>0</v>
      </c>
      <c r="I75" s="557">
        <f>IF(G75="ok",'Raw FRM data'!S77,"")</f>
      </c>
      <c r="J75" s="148">
        <f>IF(G75="ok",'Raw candidate data'!P77,"")</f>
      </c>
      <c r="K75" s="149">
        <f>IF($G75="ok",'Raw FRM data'!T77,"")</f>
      </c>
      <c r="L75" s="150">
        <f>IF($G75="ok",'Raw candidate data'!Q77,"")</f>
      </c>
      <c r="M75" s="391">
        <f>IF($G75="ok",'Raw FRM data'!U77,"")</f>
      </c>
      <c r="N75" s="541" t="b">
        <f>IF($G75="ok",'Raw candidate data'!R77)</f>
        <v>0</v>
      </c>
      <c r="O75" s="410">
        <f>IF($G75="ok",'Raw candidate data'!R77,"")</f>
      </c>
    </row>
    <row r="76" spans="2:15" ht="12.75">
      <c r="B76" s="605"/>
      <c r="C76" s="488">
        <v>68</v>
      </c>
      <c r="D76" s="136">
        <f>IF(ISBLANK('Raw FRM data'!D78),"",'Raw FRM data'!D78)</f>
      </c>
      <c r="E76" s="196">
        <f>IF(G76="ok",'Raw FRM data'!N78,"")</f>
      </c>
      <c r="F76" s="196">
        <f>IF(G76="ok",'Raw candidate data'!N78,"")</f>
      </c>
      <c r="G76" s="560">
        <f>IF(AND('Raw FRM data'!O78="",'Raw candidate data'!O78=""),"",IF(AND('Raw FRM data'!O78="ok",'Raw candidate data'!O78="ok"),"ok","NOT VALID"))</f>
      </c>
      <c r="H76" s="565" t="b">
        <f>IF(G76="ok",'Raw FRM data'!S78)</f>
        <v>0</v>
      </c>
      <c r="I76" s="557">
        <f>IF(G76="ok",'Raw FRM data'!S78,"")</f>
      </c>
      <c r="J76" s="148">
        <f>IF(G76="ok",'Raw candidate data'!P78,"")</f>
      </c>
      <c r="K76" s="149">
        <f>IF($G76="ok",'Raw FRM data'!T78,"")</f>
      </c>
      <c r="L76" s="150">
        <f>IF($G76="ok",'Raw candidate data'!Q78,"")</f>
      </c>
      <c r="M76" s="391">
        <f>IF($G76="ok",'Raw FRM data'!U78,"")</f>
      </c>
      <c r="N76" s="541" t="b">
        <f>IF($G76="ok",'Raw candidate data'!R78)</f>
        <v>0</v>
      </c>
      <c r="O76" s="410">
        <f>IF($G76="ok",'Raw candidate data'!R78,"")</f>
      </c>
    </row>
    <row r="77" spans="2:15" ht="12.75">
      <c r="B77" s="605"/>
      <c r="C77" s="488">
        <v>69</v>
      </c>
      <c r="D77" s="136">
        <f>IF(ISBLANK('Raw FRM data'!D79),"",'Raw FRM data'!D79)</f>
      </c>
      <c r="E77" s="196">
        <f>IF(G77="ok",'Raw FRM data'!N79,"")</f>
      </c>
      <c r="F77" s="196">
        <f>IF(G77="ok",'Raw candidate data'!N79,"")</f>
      </c>
      <c r="G77" s="560">
        <f>IF(AND('Raw FRM data'!O79="",'Raw candidate data'!O79=""),"",IF(AND('Raw FRM data'!O79="ok",'Raw candidate data'!O79="ok"),"ok","NOT VALID"))</f>
      </c>
      <c r="H77" s="565" t="b">
        <f>IF(G77="ok",'Raw FRM data'!S79)</f>
        <v>0</v>
      </c>
      <c r="I77" s="557">
        <f>IF(G77="ok",'Raw FRM data'!S79,"")</f>
      </c>
      <c r="J77" s="148">
        <f>IF(G77="ok",'Raw candidate data'!P79,"")</f>
      </c>
      <c r="K77" s="149">
        <f>IF($G77="ok",'Raw FRM data'!T79,"")</f>
      </c>
      <c r="L77" s="150">
        <f>IF($G77="ok",'Raw candidate data'!Q79,"")</f>
      </c>
      <c r="M77" s="391">
        <f>IF($G77="ok",'Raw FRM data'!U79,"")</f>
      </c>
      <c r="N77" s="541" t="b">
        <f>IF($G77="ok",'Raw candidate data'!R79)</f>
        <v>0</v>
      </c>
      <c r="O77" s="410">
        <f>IF($G77="ok",'Raw candidate data'!R79,"")</f>
      </c>
    </row>
    <row r="78" spans="2:15" ht="13.5" thickBot="1">
      <c r="B78" s="607"/>
      <c r="C78" s="490">
        <v>70</v>
      </c>
      <c r="D78" s="136">
        <f>IF(ISBLANK('Raw FRM data'!D80),"",'Raw FRM data'!D80)</f>
      </c>
      <c r="E78" s="196">
        <f>IF(G78="ok",'Raw FRM data'!N80,"")</f>
      </c>
      <c r="F78" s="196">
        <f>IF(G78="ok",'Raw candidate data'!N80,"")</f>
      </c>
      <c r="G78" s="561">
        <f>IF(AND('Raw FRM data'!O80="",'Raw candidate data'!O80=""),"",IF(AND('Raw FRM data'!O80="ok",'Raw candidate data'!O80="ok"),"ok","NOT VALID"))</f>
      </c>
      <c r="H78" s="566" t="b">
        <f>IF(G78="ok",'Raw FRM data'!S80)</f>
        <v>0</v>
      </c>
      <c r="I78" s="557">
        <f>IF(G78="ok",'Raw FRM data'!S80,"")</f>
      </c>
      <c r="J78" s="148">
        <f>IF(G78="ok",'Raw candidate data'!P80,"")</f>
      </c>
      <c r="K78" s="149">
        <f>IF($G78="ok",'Raw FRM data'!T80,"")</f>
      </c>
      <c r="L78" s="150">
        <f>IF($G78="ok",'Raw candidate data'!Q80,"")</f>
      </c>
      <c r="M78" s="391">
        <f>IF($G78="ok",'Raw FRM data'!U80,"")</f>
      </c>
      <c r="N78" s="541" t="b">
        <f>IF($G78="ok",'Raw candidate data'!R80)</f>
        <v>0</v>
      </c>
      <c r="O78" s="410">
        <f>IF($G78="ok",'Raw candidate data'!R80,"")</f>
      </c>
    </row>
    <row r="79" spans="2:15" ht="9.75" customHeight="1" thickBot="1" thickTop="1">
      <c r="B79" s="359"/>
      <c r="C79" s="359"/>
      <c r="D79" s="359"/>
      <c r="E79" s="359"/>
      <c r="F79" s="359"/>
      <c r="G79" s="359"/>
      <c r="H79" s="359"/>
      <c r="I79" s="408"/>
      <c r="J79" s="359"/>
      <c r="K79" s="359"/>
      <c r="L79" s="359"/>
      <c r="M79" s="359"/>
      <c r="N79" s="359"/>
      <c r="O79" s="359"/>
    </row>
    <row r="80" spans="4:15" ht="15" thickTop="1">
      <c r="D80" s="191"/>
      <c r="E80" s="34"/>
      <c r="F80" s="34"/>
      <c r="G80" s="158"/>
      <c r="H80" s="121"/>
      <c r="I80" s="143" t="s">
        <v>51</v>
      </c>
      <c r="J80" s="38"/>
      <c r="K80" s="143" t="s">
        <v>52</v>
      </c>
      <c r="L80" s="38"/>
      <c r="M80" s="277" t="s">
        <v>53</v>
      </c>
      <c r="N80" s="538"/>
      <c r="O80" s="278"/>
    </row>
    <row r="81" spans="4:15" ht="13.5" thickBot="1">
      <c r="D81" s="192"/>
      <c r="E81" s="159"/>
      <c r="F81" s="159"/>
      <c r="G81" s="160"/>
      <c r="H81" s="159"/>
      <c r="I81" s="140" t="s">
        <v>48</v>
      </c>
      <c r="J81" s="45" t="s">
        <v>49</v>
      </c>
      <c r="K81" s="140" t="s">
        <v>48</v>
      </c>
      <c r="L81" s="45" t="s">
        <v>49</v>
      </c>
      <c r="M81" s="279" t="s">
        <v>48</v>
      </c>
      <c r="N81" s="539"/>
      <c r="O81" s="280" t="s">
        <v>49</v>
      </c>
    </row>
    <row r="82" spans="4:15" ht="12.75">
      <c r="D82" s="193"/>
      <c r="E82" s="24"/>
      <c r="F82" s="24"/>
      <c r="G82" s="155" t="s">
        <v>54</v>
      </c>
      <c r="H82" s="155"/>
      <c r="I82" s="162">
        <f aca="true" t="shared" si="0" ref="I82:O82">COUNT(I9:I78)</f>
        <v>26</v>
      </c>
      <c r="J82" s="12">
        <f t="shared" si="0"/>
        <v>26</v>
      </c>
      <c r="K82" s="162">
        <f t="shared" si="0"/>
        <v>26</v>
      </c>
      <c r="L82" s="163">
        <f t="shared" si="0"/>
        <v>26</v>
      </c>
      <c r="M82" s="162">
        <f t="shared" si="0"/>
        <v>26</v>
      </c>
      <c r="N82" s="12"/>
      <c r="O82" s="164">
        <f t="shared" si="0"/>
        <v>26</v>
      </c>
    </row>
    <row r="83" spans="4:15" ht="12.75">
      <c r="D83" s="194"/>
      <c r="E83" s="157"/>
      <c r="F83" s="157"/>
      <c r="G83" s="244" t="s">
        <v>55</v>
      </c>
      <c r="H83" s="536"/>
      <c r="I83" s="245">
        <f aca="true" t="shared" si="1" ref="I83:O83">IF(ISERROR(AVERAGE(I9:I78)),"",AVERAGE(I9:I78))</f>
        <v>28.288461538461544</v>
      </c>
      <c r="J83" s="345">
        <f t="shared" si="1"/>
        <v>28.50769230769231</v>
      </c>
      <c r="K83" s="245">
        <f t="shared" si="1"/>
        <v>0.7807517381534422</v>
      </c>
      <c r="L83" s="345">
        <f t="shared" si="1"/>
        <v>1.6562910445269015</v>
      </c>
      <c r="M83" s="246">
        <f t="shared" si="1"/>
        <v>0.036890266119702406</v>
      </c>
      <c r="N83" s="544"/>
      <c r="O83" s="247">
        <f t="shared" si="1"/>
        <v>0.08836773250307858</v>
      </c>
    </row>
    <row r="84" spans="4:15" ht="12.75">
      <c r="D84" s="194"/>
      <c r="E84" s="157"/>
      <c r="F84" s="157"/>
      <c r="G84" s="156" t="s">
        <v>57</v>
      </c>
      <c r="H84" s="537"/>
      <c r="I84" s="165">
        <f>MAX($I$9:$I$78)</f>
        <v>48.5</v>
      </c>
      <c r="J84" s="166">
        <f>MAX($J$9:$J$78)</f>
        <v>48.833333333333336</v>
      </c>
      <c r="K84" s="165">
        <f>MAX($K$9:$K$78)</f>
        <v>1.193035344544867</v>
      </c>
      <c r="L84" s="75">
        <f>MAX($L$9:$L$78)</f>
        <v>2.6159765544311293</v>
      </c>
      <c r="M84" s="167">
        <f>MAX($M$9:$M$78)</f>
        <v>0.08313492035339039</v>
      </c>
      <c r="N84" s="545"/>
      <c r="O84" s="168">
        <f>MAX($O$9:$O$78)</f>
        <v>0.38974670880887285</v>
      </c>
    </row>
    <row r="85" spans="4:15" ht="12.75">
      <c r="D85" s="193"/>
      <c r="E85" s="186"/>
      <c r="F85" s="186"/>
      <c r="G85" s="155" t="s">
        <v>56</v>
      </c>
      <c r="H85" s="155"/>
      <c r="I85" s="172">
        <f>MIN($I$9:$I$78)</f>
        <v>7.15</v>
      </c>
      <c r="J85" s="78">
        <f>MIN($J$9:$J$78)</f>
        <v>5.800000000000001</v>
      </c>
      <c r="K85" s="172">
        <f>MIN($K$9:$K$78)</f>
        <v>0.21213203435593478</v>
      </c>
      <c r="L85" s="173">
        <f>MIN(L$9:L$78)</f>
        <v>0.4582575694956547</v>
      </c>
      <c r="M85" s="174">
        <f>MIN($M$9:$M$78)</f>
        <v>0.00992555831266468</v>
      </c>
      <c r="N85" s="546"/>
      <c r="O85" s="175">
        <f>MIN($O$9:$O$78)</f>
        <v>0.018008006487987543</v>
      </c>
    </row>
    <row r="86" spans="4:15" ht="13.5" thickBot="1">
      <c r="D86" s="195"/>
      <c r="E86" s="176"/>
      <c r="F86" s="176"/>
      <c r="G86" s="176" t="s">
        <v>58</v>
      </c>
      <c r="H86" s="176"/>
      <c r="I86" s="177"/>
      <c r="J86" s="178">
        <f>IF(I83="","",J83/I83)</f>
        <v>1.0077498300475864</v>
      </c>
      <c r="K86" s="179"/>
      <c r="L86" s="178">
        <f>IF(K83="","",L83/K83)</f>
        <v>2.121405516744925</v>
      </c>
      <c r="M86" s="179"/>
      <c r="N86" s="179"/>
      <c r="O86" s="180">
        <f>IF(M83="","",O83/M83)</f>
        <v>2.395421388838478</v>
      </c>
    </row>
    <row r="87" ht="7.5" customHeight="1" thickBot="1" thickTop="1"/>
    <row r="88" spans="9:15" ht="14.25" customHeight="1" thickBot="1" thickTop="1">
      <c r="I88" s="446"/>
      <c r="J88" s="447"/>
      <c r="K88" s="447"/>
      <c r="L88" s="447"/>
      <c r="M88" s="449" t="s">
        <v>48</v>
      </c>
      <c r="N88" s="547"/>
      <c r="O88" s="448" t="s">
        <v>49</v>
      </c>
    </row>
    <row r="89" spans="9:15" ht="15.75">
      <c r="I89" s="442" t="s">
        <v>132</v>
      </c>
      <c r="J89" s="188"/>
      <c r="K89" s="188"/>
      <c r="L89" s="443"/>
      <c r="M89" s="444">
        <f>IF(M82=0,"",SQRT(SUMSQ($M$9:$M$78)/M82))</f>
        <v>0.04356989240884721</v>
      </c>
      <c r="N89" s="548"/>
      <c r="O89" s="445">
        <f>IF(O82=0,"",SQRT(SUMSQ($O$9:$O$78)/O82))</f>
        <v>0.1222614291222388</v>
      </c>
    </row>
    <row r="90" spans="9:15" ht="15.75">
      <c r="I90" s="628" t="str">
        <f>"Test requirements"&amp;" - "&amp;Title!$G$17&amp;" Class "&amp;Title!$G$18</f>
        <v>Test requirements - PM2.5 Class III</v>
      </c>
      <c r="J90" s="629"/>
      <c r="K90" s="629"/>
      <c r="L90" s="630"/>
      <c r="M90" s="360">
        <v>0.1</v>
      </c>
      <c r="N90" s="549"/>
      <c r="O90" s="361">
        <f>IF(ISBLANK(Title!G18),"",IF(Title!G17="PM10-2.5",15%,IF(Title!G18="II",10%,15%)))</f>
        <v>0.15</v>
      </c>
    </row>
    <row r="91" spans="9:15" ht="16.5" thickBot="1">
      <c r="I91" s="184" t="s">
        <v>133</v>
      </c>
      <c r="J91" s="169"/>
      <c r="K91" s="169"/>
      <c r="L91" s="169"/>
      <c r="M91" s="170" t="str">
        <f>IF(M82=0,"",IF(M89&gt;M90,"FAIL"," OK"))</f>
        <v> OK</v>
      </c>
      <c r="N91" s="550"/>
      <c r="O91" s="171" t="str">
        <f>IF(OR(O89="",O90=""),"",IF(O89&gt;O90,"FAIL","PASS"))</f>
        <v>PASS</v>
      </c>
    </row>
    <row r="92" ht="7.5" customHeight="1" thickBot="1" thickTop="1"/>
    <row r="93" spans="9:15" ht="13.5" thickTop="1">
      <c r="I93" s="224"/>
      <c r="J93" s="225"/>
      <c r="K93" s="34"/>
      <c r="L93" s="34"/>
      <c r="M93" s="226"/>
      <c r="N93" s="34"/>
      <c r="O93" s="637">
        <f>$I$82</f>
        <v>26</v>
      </c>
    </row>
    <row r="94" spans="9:15" ht="12.75">
      <c r="I94" s="230" t="s">
        <v>75</v>
      </c>
      <c r="J94" s="233"/>
      <c r="K94" s="189"/>
      <c r="L94" s="189"/>
      <c r="M94" s="221"/>
      <c r="N94" s="189"/>
      <c r="O94" s="638"/>
    </row>
    <row r="95" spans="9:15" ht="12.75">
      <c r="I95" s="402" t="s">
        <v>73</v>
      </c>
      <c r="J95" s="403"/>
      <c r="K95" s="404"/>
      <c r="L95" s="404"/>
      <c r="M95" s="222"/>
      <c r="N95" s="188"/>
      <c r="O95" s="621">
        <f>IF(OR(ISBLANK(Title!$G$23),ISBLANK(Title!G18),ISBLANK(Title!G17)),"",IF(AND(Title!$G$23="A",Title!$G$18="III"),46,23))</f>
        <v>23</v>
      </c>
    </row>
    <row r="96" spans="9:15" ht="12.75">
      <c r="I96" s="405" t="str">
        <f>"required for Class "&amp;Title!$G$18&amp;", location "&amp;Title!$G$23&amp;":"</f>
        <v>required for Class III, location C:</v>
      </c>
      <c r="J96" s="406"/>
      <c r="K96" s="407"/>
      <c r="L96" s="407"/>
      <c r="M96" s="221"/>
      <c r="N96" s="189"/>
      <c r="O96" s="622"/>
    </row>
    <row r="97" spans="9:15" ht="12.75">
      <c r="I97" s="231" t="s">
        <v>77</v>
      </c>
      <c r="J97" s="205"/>
      <c r="K97" s="188"/>
      <c r="L97" s="188"/>
      <c r="M97" s="631" t="str">
        <f>IF(O95="","",IF(O93&gt;=O95,"OK    ","Insufficient  "))</f>
        <v>OK    </v>
      </c>
      <c r="N97" s="632"/>
      <c r="O97" s="633"/>
    </row>
    <row r="98" spans="9:15" ht="12.75">
      <c r="I98" s="230" t="s">
        <v>76</v>
      </c>
      <c r="J98" s="233"/>
      <c r="K98" s="188"/>
      <c r="L98" s="188"/>
      <c r="M98" s="634"/>
      <c r="N98" s="635"/>
      <c r="O98" s="636"/>
    </row>
    <row r="99" spans="9:15" ht="12.75">
      <c r="I99" s="231"/>
      <c r="J99" s="205"/>
      <c r="K99" s="190"/>
      <c r="L99" s="190"/>
      <c r="M99" s="223"/>
      <c r="N99" s="190"/>
      <c r="O99" s="623">
        <f>IF(O95="","",IF(O95-O93&gt;0,O95-O93,""))</f>
      </c>
    </row>
    <row r="100" spans="9:15" ht="13.5" thickBot="1">
      <c r="I100" s="232" t="s">
        <v>74</v>
      </c>
      <c r="J100" s="227"/>
      <c r="K100" s="228"/>
      <c r="L100" s="228"/>
      <c r="M100" s="229"/>
      <c r="N100" s="228"/>
      <c r="O100" s="624"/>
    </row>
    <row r="101" ht="13.5" thickTop="1"/>
  </sheetData>
  <sheetProtection sheet="1" objects="1" scenarios="1" selectLockedCells="1" autoFilter="0" selectUnlockedCells="1"/>
  <autoFilter ref="B8:O78"/>
  <mergeCells count="11">
    <mergeCell ref="B32:B54"/>
    <mergeCell ref="B55:B78"/>
    <mergeCell ref="B9:B31"/>
    <mergeCell ref="O93:O94"/>
    <mergeCell ref="O95:O96"/>
    <mergeCell ref="O99:O100"/>
    <mergeCell ref="I3:Q3"/>
    <mergeCell ref="I4:Q4"/>
    <mergeCell ref="I5:Q5"/>
    <mergeCell ref="I90:L90"/>
    <mergeCell ref="M97:O98"/>
  </mergeCells>
  <printOptions/>
  <pageMargins left="0.75" right="0.75" top="0.5" bottom="0.49" header="0.5" footer="0.5"/>
  <pageSetup fitToHeight="1" fitToWidth="1" horizontalDpi="600" verticalDpi="600" orientation="portrait" scale="55"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R95"/>
  <sheetViews>
    <sheetView workbookViewId="0" topLeftCell="A1">
      <pane ySplit="8" topLeftCell="BM13" activePane="bottomLeft" state="frozen"/>
      <selection pane="topLeft" activeCell="A1" sqref="A1"/>
      <selection pane="bottomLeft" activeCell="G1" sqref="G1"/>
    </sheetView>
  </sheetViews>
  <sheetFormatPr defaultColWidth="9.140625" defaultRowHeight="12.75"/>
  <cols>
    <col min="1" max="1" width="2.140625" style="0" customWidth="1"/>
    <col min="2" max="2" width="3.7109375" style="0" customWidth="1"/>
    <col min="3" max="3" width="4.00390625" style="0" customWidth="1"/>
    <col min="4" max="4" width="8.140625" style="0" customWidth="1"/>
    <col min="5" max="5" width="5.57421875" style="0" customWidth="1"/>
    <col min="6" max="6" width="5.421875" style="0" customWidth="1"/>
    <col min="7" max="7" width="10.421875" style="0" customWidth="1"/>
    <col min="8" max="8" width="10.421875" style="0" hidden="1" customWidth="1"/>
    <col min="9" max="9" width="9.421875" style="0" customWidth="1"/>
    <col min="10" max="10" width="9.421875" style="0" hidden="1" customWidth="1"/>
    <col min="11" max="11" width="11.7109375" style="0" customWidth="1"/>
    <col min="12" max="12" width="1.8515625" style="0" customWidth="1"/>
    <col min="13" max="13" width="2.00390625" style="0" customWidth="1"/>
    <col min="14" max="14" width="20.28125" style="0" customWidth="1"/>
    <col min="16" max="16" width="8.57421875" style="0" customWidth="1"/>
    <col min="17" max="17" width="12.140625" style="0" customWidth="1"/>
    <col min="18" max="18" width="15.8515625" style="0" customWidth="1"/>
  </cols>
  <sheetData>
    <row r="1" spans="7:8" ht="20.25" customHeight="1">
      <c r="G1" s="32" t="s">
        <v>91</v>
      </c>
      <c r="H1" s="32"/>
    </row>
    <row r="2" ht="13.5" thickBot="1"/>
    <row r="3" spans="4:18" ht="12.75">
      <c r="D3" s="9" t="s">
        <v>2</v>
      </c>
      <c r="E3" s="10"/>
      <c r="F3" s="10"/>
      <c r="G3" s="29"/>
      <c r="H3" s="10"/>
      <c r="I3" s="625" t="str">
        <f>'Raw FRM data'!F5</f>
        <v>Example</v>
      </c>
      <c r="J3" s="644"/>
      <c r="K3" s="626"/>
      <c r="L3" s="626"/>
      <c r="M3" s="626"/>
      <c r="N3" s="626"/>
      <c r="O3" s="626"/>
      <c r="P3" s="626"/>
      <c r="Q3" s="626"/>
      <c r="R3" s="187"/>
    </row>
    <row r="4" spans="4:18" ht="12.75">
      <c r="D4" s="28" t="s">
        <v>7</v>
      </c>
      <c r="E4" s="132"/>
      <c r="F4" s="132"/>
      <c r="G4" s="30"/>
      <c r="H4" s="132"/>
      <c r="I4" s="611" t="str">
        <f>'Raw FRM data'!F6</f>
        <v>ACME Model XYZ123 Air monitor - PM2.5 Class III</v>
      </c>
      <c r="J4" s="616"/>
      <c r="K4" s="612"/>
      <c r="L4" s="612"/>
      <c r="M4" s="612"/>
      <c r="N4" s="612"/>
      <c r="O4" s="612"/>
      <c r="P4" s="612"/>
      <c r="Q4" s="612"/>
      <c r="R4" s="187"/>
    </row>
    <row r="5" spans="4:18" ht="13.5" thickBot="1">
      <c r="D5" s="14" t="s">
        <v>6</v>
      </c>
      <c r="E5" s="15"/>
      <c r="F5" s="15"/>
      <c r="G5" s="31"/>
      <c r="H5" s="15"/>
      <c r="I5" s="617" t="str">
        <f>'Raw FRM data'!F7</f>
        <v>St. Louis test site  -  (Site location  C )</v>
      </c>
      <c r="J5" s="618"/>
      <c r="K5" s="619"/>
      <c r="L5" s="619"/>
      <c r="M5" s="619"/>
      <c r="N5" s="619"/>
      <c r="O5" s="619"/>
      <c r="P5" s="619"/>
      <c r="Q5" s="619"/>
      <c r="R5" s="187"/>
    </row>
    <row r="6" ht="22.5" customHeight="1" thickBot="1">
      <c r="N6" s="483">
        <f>IF(OR(ISBLANK(Title!$G$17),ISBLANK(Title!$G$18),ISBLANK(Title!$G$23)),"Note: Necessary information is missing from 'Title' sheet.","")</f>
      </c>
    </row>
    <row r="7" spans="2:18" ht="15" thickTop="1">
      <c r="B7" s="33"/>
      <c r="C7" s="34" t="s">
        <v>17</v>
      </c>
      <c r="D7" s="35" t="s">
        <v>27</v>
      </c>
      <c r="E7" s="38" t="s">
        <v>64</v>
      </c>
      <c r="F7" s="36"/>
      <c r="G7" s="551" t="s">
        <v>50</v>
      </c>
      <c r="H7" s="115"/>
      <c r="I7" s="581" t="s">
        <v>134</v>
      </c>
      <c r="J7" s="567"/>
      <c r="K7" s="411"/>
      <c r="N7" s="254" t="s">
        <v>98</v>
      </c>
      <c r="O7" s="255"/>
      <c r="P7" s="256"/>
      <c r="Q7" s="255"/>
      <c r="R7" s="257"/>
    </row>
    <row r="8" spans="2:18" ht="13.5" thickBot="1">
      <c r="B8" s="40"/>
      <c r="C8" s="41" t="s">
        <v>16</v>
      </c>
      <c r="D8" s="42" t="s">
        <v>161</v>
      </c>
      <c r="E8" s="484" t="s">
        <v>48</v>
      </c>
      <c r="F8" s="485" t="s">
        <v>65</v>
      </c>
      <c r="G8" s="552" t="s">
        <v>162</v>
      </c>
      <c r="H8" s="116" t="s">
        <v>48</v>
      </c>
      <c r="I8" s="582" t="s">
        <v>48</v>
      </c>
      <c r="J8" s="539" t="s">
        <v>49</v>
      </c>
      <c r="K8" s="486" t="s">
        <v>49</v>
      </c>
      <c r="N8" s="258" t="s">
        <v>92</v>
      </c>
      <c r="O8" s="259"/>
      <c r="P8" s="260"/>
      <c r="Q8" s="259"/>
      <c r="R8" s="261"/>
    </row>
    <row r="9" spans="2:11" ht="12.75" customHeight="1">
      <c r="B9" s="639" t="s">
        <v>46</v>
      </c>
      <c r="C9" s="494">
        <v>1</v>
      </c>
      <c r="D9" s="133">
        <f>IF(ISBLANK('Raw FRM data'!D11),"",'Raw FRM data'!D11)</f>
        <v>39116</v>
      </c>
      <c r="E9" s="196">
        <f>IF(G9="ok",'Raw FRM data'!N11,"")</f>
        <v>3</v>
      </c>
      <c r="F9" s="196">
        <f>IF(G9="ok",'Raw candidate data'!N11,"")</f>
        <v>3</v>
      </c>
      <c r="G9" s="146" t="str">
        <f>IF(AND('Raw FRM data'!O11="",'Raw candidate data'!O11=""),"",IF(AND('Raw FRM data'!O11="ok",'Raw candidate data'!O11="ok"),"ok","NOT VALID"))</f>
        <v>ok</v>
      </c>
      <c r="H9" s="577">
        <f>IF(G9="ok",'Raw FRM data'!S11)</f>
        <v>43.79999999999999</v>
      </c>
      <c r="I9" s="583">
        <f>IF(G9="ok",'Raw FRM data'!S11,"")</f>
        <v>43.79999999999999</v>
      </c>
      <c r="J9" s="568">
        <f>IF(G9="ok",'Raw candidate data'!P11)</f>
        <v>43.13333333333333</v>
      </c>
      <c r="K9" s="412">
        <f>IF(G9="ok",'Raw candidate data'!P11,"")</f>
        <v>43.13333333333333</v>
      </c>
    </row>
    <row r="10" spans="2:11" ht="12.75">
      <c r="B10" s="642"/>
      <c r="C10" s="495">
        <v>2</v>
      </c>
      <c r="D10" s="134">
        <f>IF(ISBLANK('Raw FRM data'!D12),"",'Raw FRM data'!D12)</f>
        <v>39117</v>
      </c>
      <c r="E10" s="196">
        <f>IF(G10="ok",'Raw FRM data'!N12,"")</f>
        <v>3</v>
      </c>
      <c r="F10" s="196">
        <f>IF(G10="ok",'Raw candidate data'!N12,"")</f>
        <v>3</v>
      </c>
      <c r="G10" s="146" t="str">
        <f>IF(AND('Raw FRM data'!O12="",'Raw candidate data'!O12=""),"",IF(AND('Raw FRM data'!O12="ok",'Raw candidate data'!O12="ok"),"ok","NOT VALID"))</f>
        <v>ok</v>
      </c>
      <c r="H10" s="576">
        <f>IF(G10="ok",'Raw FRM data'!S12)</f>
        <v>11.6</v>
      </c>
      <c r="I10" s="584">
        <f>IF(G10="ok",'Raw FRM data'!S12,"")</f>
        <v>11.6</v>
      </c>
      <c r="J10" s="569">
        <f>IF(G10="ok",'Raw candidate data'!P12)</f>
        <v>11.166666666666666</v>
      </c>
      <c r="K10" s="413">
        <f>IF(G10="ok",'Raw candidate data'!P12,"")</f>
        <v>11.166666666666666</v>
      </c>
    </row>
    <row r="11" spans="2:11" ht="12.75">
      <c r="B11" s="642"/>
      <c r="C11" s="495">
        <v>3</v>
      </c>
      <c r="D11" s="134">
        <f>IF(ISBLANK('Raw FRM data'!D13),"",'Raw FRM data'!D13)</f>
        <v>39118</v>
      </c>
      <c r="E11" s="196">
        <f>IF(G11="ok",'Raw FRM data'!N13,"")</f>
        <v>3</v>
      </c>
      <c r="F11" s="196">
        <f>IF(G11="ok",'Raw candidate data'!N13,"")</f>
        <v>3</v>
      </c>
      <c r="G11" s="146" t="str">
        <f>IF(AND('Raw FRM data'!O13="",'Raw candidate data'!O13=""),"",IF(AND('Raw FRM data'!O13="ok",'Raw candidate data'!O13="ok"),"ok","NOT VALID"))</f>
        <v>ok</v>
      </c>
      <c r="H11" s="576">
        <f>IF(G11="ok",'Raw FRM data'!S13)</f>
        <v>36.43333333333333</v>
      </c>
      <c r="I11" s="584">
        <f>IF(G11="ok",'Raw FRM data'!S13,"")</f>
        <v>36.43333333333333</v>
      </c>
      <c r="J11" s="569">
        <f>IF(G11="ok",'Raw candidate data'!P13)</f>
        <v>37.1</v>
      </c>
      <c r="K11" s="413">
        <f>IF(G11="ok",'Raw candidate data'!P13,"")</f>
        <v>37.1</v>
      </c>
    </row>
    <row r="12" spans="2:11" ht="12.75">
      <c r="B12" s="642"/>
      <c r="C12" s="495">
        <v>4</v>
      </c>
      <c r="D12" s="134">
        <f>IF(ISBLANK('Raw FRM data'!D14),"",'Raw FRM data'!D14)</f>
        <v>39119</v>
      </c>
      <c r="E12" s="196">
        <f>IF(G12="ok",'Raw FRM data'!N14,"")</f>
        <v>3</v>
      </c>
      <c r="F12" s="196">
        <f>IF(G12="ok",'Raw candidate data'!N14,"")</f>
        <v>3</v>
      </c>
      <c r="G12" s="146" t="str">
        <f>IF(AND('Raw FRM data'!O14="",'Raw candidate data'!O14=""),"",IF(AND('Raw FRM data'!O14="ok",'Raw candidate data'!O14="ok"),"ok","NOT VALID"))</f>
        <v>ok</v>
      </c>
      <c r="H12" s="576">
        <f>IF(G12="ok",'Raw FRM data'!S14)</f>
        <v>40.63333333333333</v>
      </c>
      <c r="I12" s="584">
        <f>IF(G12="ok",'Raw FRM data'!S14,"")</f>
        <v>40.63333333333333</v>
      </c>
      <c r="J12" s="569">
        <f>IF(G12="ok",'Raw candidate data'!P14)</f>
        <v>42</v>
      </c>
      <c r="K12" s="413">
        <f>IF(G12="ok",'Raw candidate data'!P14,"")</f>
        <v>42</v>
      </c>
    </row>
    <row r="13" spans="2:11" ht="12.75">
      <c r="B13" s="642"/>
      <c r="C13" s="495">
        <v>5</v>
      </c>
      <c r="D13" s="134">
        <f>IF(ISBLANK('Raw FRM data'!D15),"",'Raw FRM data'!D15)</f>
        <v>39120</v>
      </c>
      <c r="E13" s="196">
        <f>IF(G13="ok",'Raw FRM data'!N15,"")</f>
        <v>3</v>
      </c>
      <c r="F13" s="196">
        <f>IF(G13="ok",'Raw candidate data'!N15,"")</f>
        <v>3</v>
      </c>
      <c r="G13" s="146" t="str">
        <f>IF(AND('Raw FRM data'!O15="",'Raw candidate data'!O15=""),"",IF(AND('Raw FRM data'!O15="ok",'Raw candidate data'!O15="ok"),"ok","NOT VALID"))</f>
        <v>ok</v>
      </c>
      <c r="H13" s="576">
        <f>IF(G13="ok",'Raw FRM data'!S15)</f>
        <v>16.433333333333334</v>
      </c>
      <c r="I13" s="584">
        <f>IF(G13="ok",'Raw FRM data'!S15,"")</f>
        <v>16.433333333333334</v>
      </c>
      <c r="J13" s="569">
        <f>IF(G13="ok",'Raw candidate data'!P15)</f>
        <v>19.533333333333335</v>
      </c>
      <c r="K13" s="413">
        <f>IF(G13="ok",'Raw candidate data'!P15,"")</f>
        <v>19.533333333333335</v>
      </c>
    </row>
    <row r="14" spans="2:14" ht="12.75" customHeight="1">
      <c r="B14" s="642"/>
      <c r="C14" s="495">
        <v>6</v>
      </c>
      <c r="D14" s="134">
        <f>IF(ISBLANK('Raw FRM data'!D16),"",'Raw FRM data'!D16)</f>
        <v>39121</v>
      </c>
      <c r="E14" s="196">
        <f>IF(G14="ok",'Raw FRM data'!N16,"")</f>
        <v>3</v>
      </c>
      <c r="F14" s="196">
        <f>IF(G14="ok",'Raw candidate data'!N16,"")</f>
        <v>3</v>
      </c>
      <c r="G14" s="146" t="str">
        <f>IF(AND('Raw FRM data'!O16="",'Raw candidate data'!O16=""),"",IF(AND('Raw FRM data'!O16="ok",'Raw candidate data'!O16="ok"),"ok","NOT VALID"))</f>
        <v>ok</v>
      </c>
      <c r="H14" s="576">
        <f>IF(G14="ok",'Raw FRM data'!S16)</f>
        <v>25.200000000000003</v>
      </c>
      <c r="I14" s="584">
        <f>IF(G14="ok",'Raw FRM data'!S16,"")</f>
        <v>25.200000000000003</v>
      </c>
      <c r="J14" s="569">
        <f>IF(G14="ok",'Raw candidate data'!P16)</f>
        <v>24.2</v>
      </c>
      <c r="K14" s="413">
        <f>IF(G14="ok",'Raw candidate data'!P16,"")</f>
        <v>24.2</v>
      </c>
      <c r="N14" s="451"/>
    </row>
    <row r="15" spans="2:11" ht="12.75">
      <c r="B15" s="642"/>
      <c r="C15" s="495">
        <v>7</v>
      </c>
      <c r="D15" s="134">
        <f>IF(ISBLANK('Raw FRM data'!D17),"",'Raw FRM data'!D17)</f>
        <v>39122</v>
      </c>
      <c r="E15" s="196">
        <f>IF(G15="ok",'Raw FRM data'!N17,"")</f>
        <v>3</v>
      </c>
      <c r="F15" s="196">
        <f>IF(G15="ok",'Raw candidate data'!N17,"")</f>
        <v>3</v>
      </c>
      <c r="G15" s="146" t="str">
        <f>IF(AND('Raw FRM data'!O17="",'Raw candidate data'!O17=""),"",IF(AND('Raw FRM data'!O17="ok",'Raw candidate data'!O17="ok"),"ok","NOT VALID"))</f>
        <v>ok</v>
      </c>
      <c r="H15" s="576">
        <f>IF(G15="ok",'Raw FRM data'!S17)</f>
        <v>48.5</v>
      </c>
      <c r="I15" s="584">
        <f>IF(G15="ok",'Raw FRM data'!S17,"")</f>
        <v>48.5</v>
      </c>
      <c r="J15" s="569">
        <f>IF(G15="ok",'Raw candidate data'!P17)</f>
        <v>46.56666666666666</v>
      </c>
      <c r="K15" s="413">
        <f>IF(G15="ok",'Raw candidate data'!P17,"")</f>
        <v>46.56666666666666</v>
      </c>
    </row>
    <row r="16" spans="2:11" ht="12.75">
      <c r="B16" s="642"/>
      <c r="C16" s="495">
        <v>8</v>
      </c>
      <c r="D16" s="134">
        <f>IF(ISBLANK('Raw FRM data'!D18),"",'Raw FRM data'!D18)</f>
        <v>39123</v>
      </c>
      <c r="E16" s="196">
        <f>IF(G16="ok",'Raw FRM data'!N18,"")</f>
        <v>3</v>
      </c>
      <c r="F16" s="196">
        <f>IF(G16="ok",'Raw candidate data'!N18,"")</f>
        <v>3</v>
      </c>
      <c r="G16" s="146" t="str">
        <f>IF(AND('Raw FRM data'!O18="",'Raw candidate data'!O18=""),"",IF(AND('Raw FRM data'!O18="ok",'Raw candidate data'!O18="ok"),"ok","NOT VALID"))</f>
        <v>ok</v>
      </c>
      <c r="H16" s="576">
        <f>IF(G16="ok",'Raw FRM data'!S18)</f>
        <v>32.56666666666666</v>
      </c>
      <c r="I16" s="584">
        <f>IF(G16="ok",'Raw FRM data'!S18,"")</f>
        <v>32.56666666666666</v>
      </c>
      <c r="J16" s="569">
        <f>IF(G16="ok",'Raw candidate data'!P18)</f>
        <v>34.63333333333333</v>
      </c>
      <c r="K16" s="413">
        <f>IF(G16="ok",'Raw candidate data'!P18,"")</f>
        <v>34.63333333333333</v>
      </c>
    </row>
    <row r="17" spans="2:11" ht="12.75">
      <c r="B17" s="642"/>
      <c r="C17" s="495">
        <v>9</v>
      </c>
      <c r="D17" s="134">
        <f>IF(ISBLANK('Raw FRM data'!D19),"",'Raw FRM data'!D19)</f>
        <v>39124</v>
      </c>
      <c r="E17" s="196">
        <f>IF(G17="ok",'Raw FRM data'!N19,"")</f>
        <v>3</v>
      </c>
      <c r="F17" s="196">
        <f>IF(G17="ok",'Raw candidate data'!N19,"")</f>
        <v>3</v>
      </c>
      <c r="G17" s="146" t="str">
        <f>IF(AND('Raw FRM data'!O19="",'Raw candidate data'!O19=""),"",IF(AND('Raw FRM data'!O19="ok",'Raw candidate data'!O19="ok"),"ok","NOT VALID"))</f>
        <v>ok</v>
      </c>
      <c r="H17" s="576">
        <f>IF(G17="ok",'Raw FRM data'!S19)</f>
        <v>12.366666666666667</v>
      </c>
      <c r="I17" s="584">
        <f>IF(G17="ok",'Raw FRM data'!S19,"")</f>
        <v>12.366666666666667</v>
      </c>
      <c r="J17" s="569">
        <f>IF(G17="ok",'Raw candidate data'!P19)</f>
        <v>11.433333333333332</v>
      </c>
      <c r="K17" s="413">
        <f>IF(G17="ok",'Raw candidate data'!P19,"")</f>
        <v>11.433333333333332</v>
      </c>
    </row>
    <row r="18" spans="2:11" ht="12.75">
      <c r="B18" s="642"/>
      <c r="C18" s="495">
        <v>10</v>
      </c>
      <c r="D18" s="134">
        <f>IF(ISBLANK('Raw FRM data'!D20),"",'Raw FRM data'!D20)</f>
        <v>39125</v>
      </c>
      <c r="E18" s="196">
        <f>IF(G18="ok",'Raw FRM data'!N20,"")</f>
        <v>3</v>
      </c>
      <c r="F18" s="196">
        <f>IF(G18="ok",'Raw candidate data'!N20,"")</f>
        <v>3</v>
      </c>
      <c r="G18" s="146" t="str">
        <f>IF(AND('Raw FRM data'!O20="",'Raw candidate data'!O20=""),"",IF(AND('Raw FRM data'!O20="ok",'Raw candidate data'!O20="ok"),"ok","NOT VALID"))</f>
        <v>ok</v>
      </c>
      <c r="H18" s="576">
        <f>IF(G18="ok",'Raw FRM data'!S20)</f>
        <v>37.73333333333333</v>
      </c>
      <c r="I18" s="584">
        <f>IF(G18="ok",'Raw FRM data'!S20,"")</f>
        <v>37.73333333333333</v>
      </c>
      <c r="J18" s="569">
        <f>IF(G18="ok",'Raw candidate data'!P20)</f>
        <v>36.766666666666666</v>
      </c>
      <c r="K18" s="413">
        <f>IF(G18="ok",'Raw candidate data'!P20,"")</f>
        <v>36.766666666666666</v>
      </c>
    </row>
    <row r="19" spans="2:11" ht="12.75">
      <c r="B19" s="642"/>
      <c r="C19" s="495">
        <v>11</v>
      </c>
      <c r="D19" s="134">
        <f>IF(ISBLANK('Raw FRM data'!D21),"",'Raw FRM data'!D21)</f>
        <v>39126</v>
      </c>
      <c r="E19" s="196">
        <f>IF(G19="ok",'Raw FRM data'!N21,"")</f>
        <v>3</v>
      </c>
      <c r="F19" s="196">
        <f>IF(G19="ok",'Raw candidate data'!N21,"")</f>
        <v>3</v>
      </c>
      <c r="G19" s="146" t="str">
        <f>IF(AND('Raw FRM data'!O21="",'Raw candidate data'!O21=""),"",IF(AND('Raw FRM data'!O21="ok",'Raw candidate data'!O21="ok"),"ok","NOT VALID"))</f>
        <v>ok</v>
      </c>
      <c r="H19" s="576">
        <f>IF(G19="ok",'Raw FRM data'!S21)</f>
        <v>8.966666666666667</v>
      </c>
      <c r="I19" s="584">
        <f>IF(G19="ok",'Raw FRM data'!S21,"")</f>
        <v>8.966666666666667</v>
      </c>
      <c r="J19" s="569">
        <f>IF(G19="ok",'Raw candidate data'!P21)</f>
        <v>7.8999999999999995</v>
      </c>
      <c r="K19" s="413">
        <f>IF(G19="ok",'Raw candidate data'!P21,"")</f>
        <v>7.8999999999999995</v>
      </c>
    </row>
    <row r="20" spans="2:11" ht="12.75">
      <c r="B20" s="642"/>
      <c r="C20" s="495">
        <v>12</v>
      </c>
      <c r="D20" s="134">
        <f>IF(ISBLANK('Raw FRM data'!D22),"",'Raw FRM data'!D22)</f>
        <v>39127</v>
      </c>
      <c r="E20" s="196">
        <f>IF(G20="ok",'Raw FRM data'!N22,"")</f>
      </c>
      <c r="F20" s="196">
        <f>IF(G20="ok",'Raw candidate data'!N22,"")</f>
      </c>
      <c r="G20" s="146" t="str">
        <f>IF(AND('Raw FRM data'!O22="",'Raw candidate data'!O22=""),"",IF(AND('Raw FRM data'!O22="ok",'Raw candidate data'!O22="ok"),"ok","NOT VALID"))</f>
        <v>NOT VALID</v>
      </c>
      <c r="H20" s="576" t="b">
        <f>IF(G20="ok",'Raw FRM data'!S22)</f>
        <v>0</v>
      </c>
      <c r="I20" s="584">
        <f>IF(G20="ok",'Raw FRM data'!S22,"")</f>
      </c>
      <c r="J20" s="569" t="b">
        <f>IF(G20="ok",'Raw candidate data'!P22)</f>
        <v>0</v>
      </c>
      <c r="K20" s="413">
        <f>IF(G20="ok",'Raw candidate data'!P22,"")</f>
      </c>
    </row>
    <row r="21" spans="2:11" ht="12.75">
      <c r="B21" s="642"/>
      <c r="C21" s="495">
        <v>13</v>
      </c>
      <c r="D21" s="134">
        <f>IF(ISBLANK('Raw FRM data'!D23),"",'Raw FRM data'!D23)</f>
        <v>39128</v>
      </c>
      <c r="E21" s="196">
        <f>IF(G21="ok",'Raw FRM data'!N23,"")</f>
        <v>3</v>
      </c>
      <c r="F21" s="196">
        <f>IF(G21="ok",'Raw candidate data'!N23,"")</f>
        <v>3</v>
      </c>
      <c r="G21" s="146" t="str">
        <f>IF(AND('Raw FRM data'!O23="",'Raw candidate data'!O23=""),"",IF(AND('Raw FRM data'!O23="ok",'Raw candidate data'!O23="ok"),"ok","NOT VALID"))</f>
        <v>ok</v>
      </c>
      <c r="H21" s="576">
        <f>IF(G21="ok",'Raw FRM data'!S23)</f>
        <v>30.233333333333334</v>
      </c>
      <c r="I21" s="584">
        <f>IF(G21="ok",'Raw FRM data'!S23,"")</f>
        <v>30.233333333333334</v>
      </c>
      <c r="J21" s="569">
        <f>IF(G21="ok",'Raw candidate data'!P23)</f>
        <v>30.96666666666667</v>
      </c>
      <c r="K21" s="413">
        <f>IF(G21="ok",'Raw candidate data'!P23,"")</f>
        <v>30.96666666666667</v>
      </c>
    </row>
    <row r="22" spans="2:11" ht="12.75">
      <c r="B22" s="642"/>
      <c r="C22" s="495">
        <v>14</v>
      </c>
      <c r="D22" s="134">
        <f>IF(ISBLANK('Raw FRM data'!D24),"",'Raw FRM data'!D24)</f>
        <v>39129</v>
      </c>
      <c r="E22" s="196">
        <f>IF(G22="ok",'Raw FRM data'!N24,"")</f>
        <v>3</v>
      </c>
      <c r="F22" s="196">
        <f>IF(G22="ok",'Raw candidate data'!N24,"")</f>
        <v>3</v>
      </c>
      <c r="G22" s="146" t="str">
        <f>IF(AND('Raw FRM data'!O24="",'Raw candidate data'!O24=""),"",IF(AND('Raw FRM data'!O24="ok",'Raw candidate data'!O24="ok"),"ok","NOT VALID"))</f>
        <v>ok</v>
      </c>
      <c r="H22" s="576">
        <f>IF(G22="ok",'Raw FRM data'!S24)</f>
        <v>11.4</v>
      </c>
      <c r="I22" s="584">
        <f>IF(G22="ok",'Raw FRM data'!S24,"")</f>
        <v>11.4</v>
      </c>
      <c r="J22" s="569">
        <f>IF(G22="ok",'Raw candidate data'!P24)</f>
        <v>12.200000000000001</v>
      </c>
      <c r="K22" s="413">
        <f>IF(G22="ok",'Raw candidate data'!P24,"")</f>
        <v>12.200000000000001</v>
      </c>
    </row>
    <row r="23" spans="2:11" ht="12.75">
      <c r="B23" s="642"/>
      <c r="C23" s="495">
        <v>15</v>
      </c>
      <c r="D23" s="134">
        <f>IF(ISBLANK('Raw FRM data'!D25),"",'Raw FRM data'!D25)</f>
        <v>39130</v>
      </c>
      <c r="E23" s="196">
        <f>IF(G23="ok",'Raw FRM data'!N25,"")</f>
        <v>3</v>
      </c>
      <c r="F23" s="196">
        <f>IF(G23="ok",'Raw candidate data'!N25,"")</f>
        <v>3</v>
      </c>
      <c r="G23" s="146" t="str">
        <f>IF(AND('Raw FRM data'!O25="",'Raw candidate data'!O25=""),"",IF(AND('Raw FRM data'!O25="ok",'Raw candidate data'!O25="ok"),"ok","NOT VALID"))</f>
        <v>ok</v>
      </c>
      <c r="H23" s="576">
        <f>IF(G23="ok",'Raw FRM data'!S25)</f>
        <v>26.3</v>
      </c>
      <c r="I23" s="584">
        <f>IF(G23="ok",'Raw FRM data'!S25,"")</f>
        <v>26.3</v>
      </c>
      <c r="J23" s="569">
        <f>IF(G23="ok",'Raw candidate data'!P25)</f>
        <v>26.7</v>
      </c>
      <c r="K23" s="413">
        <f>IF(G23="ok",'Raw candidate data'!P25,"")</f>
        <v>26.7</v>
      </c>
    </row>
    <row r="24" spans="2:11" ht="12.75">
      <c r="B24" s="642"/>
      <c r="C24" s="495">
        <v>16</v>
      </c>
      <c r="D24" s="134">
        <f>IF(ISBLANK('Raw FRM data'!D26),"",'Raw FRM data'!D26)</f>
        <v>39131</v>
      </c>
      <c r="E24" s="196">
        <f>IF(G24="ok",'Raw FRM data'!N26,"")</f>
        <v>3</v>
      </c>
      <c r="F24" s="196">
        <f>IF(G24="ok",'Raw candidate data'!N26,"")</f>
        <v>3</v>
      </c>
      <c r="G24" s="146" t="str">
        <f>IF(AND('Raw FRM data'!O26="",'Raw candidate data'!O26=""),"",IF(AND('Raw FRM data'!O26="ok",'Raw candidate data'!O26="ok"),"ok","NOT VALID"))</f>
        <v>ok</v>
      </c>
      <c r="H24" s="576">
        <f>IF(G24="ok",'Raw FRM data'!S26)</f>
        <v>45.46666666666666</v>
      </c>
      <c r="I24" s="584">
        <f>IF(G24="ok",'Raw FRM data'!S26,"")</f>
        <v>45.46666666666666</v>
      </c>
      <c r="J24" s="569">
        <f>IF(G24="ok",'Raw candidate data'!P26)</f>
        <v>46.76666666666667</v>
      </c>
      <c r="K24" s="413">
        <f>IF(G24="ok",'Raw candidate data'!P26,"")</f>
        <v>46.76666666666667</v>
      </c>
    </row>
    <row r="25" spans="2:11" ht="12.75">
      <c r="B25" s="642"/>
      <c r="C25" s="495">
        <v>17</v>
      </c>
      <c r="D25" s="134">
        <f>IF(ISBLANK('Raw FRM data'!D27),"",'Raw FRM data'!D27)</f>
        <v>39132</v>
      </c>
      <c r="E25" s="196">
        <f>IF(G25="ok",'Raw FRM data'!N27,"")</f>
        <v>3</v>
      </c>
      <c r="F25" s="196">
        <f>IF(G25="ok",'Raw candidate data'!N27,"")</f>
        <v>3</v>
      </c>
      <c r="G25" s="146" t="str">
        <f>IF(AND('Raw FRM data'!O27="",'Raw candidate data'!O27=""),"",IF(AND('Raw FRM data'!O27="ok",'Raw candidate data'!O27="ok"),"ok","NOT VALID"))</f>
        <v>ok</v>
      </c>
      <c r="H25" s="576">
        <f>IF(G25="ok",'Raw FRM data'!S27)</f>
        <v>46.699999999999996</v>
      </c>
      <c r="I25" s="584">
        <f>IF(G25="ok",'Raw FRM data'!S27,"")</f>
        <v>46.699999999999996</v>
      </c>
      <c r="J25" s="569">
        <f>IF(G25="ok",'Raw candidate data'!P27)</f>
        <v>47</v>
      </c>
      <c r="K25" s="413">
        <f>IF(G25="ok",'Raw candidate data'!P27,"")</f>
        <v>47</v>
      </c>
    </row>
    <row r="26" spans="2:11" ht="12.75">
      <c r="B26" s="642"/>
      <c r="C26" s="495">
        <v>18</v>
      </c>
      <c r="D26" s="134">
        <f>IF(ISBLANK('Raw FRM data'!D28),"",'Raw FRM data'!D28)</f>
        <v>39133</v>
      </c>
      <c r="E26" s="196">
        <f>IF(G26="ok",'Raw FRM data'!N28,"")</f>
        <v>2</v>
      </c>
      <c r="F26" s="196">
        <f>IF(G26="ok",'Raw candidate data'!N28,"")</f>
        <v>3</v>
      </c>
      <c r="G26" s="146" t="str">
        <f>IF(AND('Raw FRM data'!O28="",'Raw candidate data'!O28=""),"",IF(AND('Raw FRM data'!O28="ok",'Raw candidate data'!O28="ok"),"ok","NOT VALID"))</f>
        <v>ok</v>
      </c>
      <c r="H26" s="576">
        <f>IF(G26="ok",'Raw FRM data'!S28)</f>
        <v>12.05</v>
      </c>
      <c r="I26" s="584">
        <f>IF(G26="ok",'Raw FRM data'!S28,"")</f>
        <v>12.05</v>
      </c>
      <c r="J26" s="569">
        <f>IF(G26="ok",'Raw candidate data'!P28)</f>
        <v>11.699999999999998</v>
      </c>
      <c r="K26" s="413">
        <f>IF(G26="ok",'Raw candidate data'!P28,"")</f>
        <v>11.699999999999998</v>
      </c>
    </row>
    <row r="27" spans="2:11" ht="12.75">
      <c r="B27" s="642"/>
      <c r="C27" s="495">
        <v>19</v>
      </c>
      <c r="D27" s="134">
        <f>IF(ISBLANK('Raw FRM data'!D29),"",'Raw FRM data'!D29)</f>
        <v>39134</v>
      </c>
      <c r="E27" s="196">
        <f>IF(G27="ok",'Raw FRM data'!N29,"")</f>
        <v>3</v>
      </c>
      <c r="F27" s="196">
        <f>IF(G27="ok",'Raw candidate data'!N29,"")</f>
        <v>3</v>
      </c>
      <c r="G27" s="146" t="str">
        <f>IF(AND('Raw FRM data'!O29="",'Raw candidate data'!O29=""),"",IF(AND('Raw FRM data'!O29="ok",'Raw candidate data'!O29="ok"),"ok","NOT VALID"))</f>
        <v>ok</v>
      </c>
      <c r="H27" s="576">
        <f>IF(G27="ok",'Raw FRM data'!S29)</f>
        <v>40.3</v>
      </c>
      <c r="I27" s="584">
        <f>IF(G27="ok",'Raw FRM data'!S29,"")</f>
        <v>40.3</v>
      </c>
      <c r="J27" s="569">
        <f>IF(G27="ok",'Raw candidate data'!P29)</f>
        <v>40.400000000000006</v>
      </c>
      <c r="K27" s="413">
        <f>IF(G27="ok",'Raw candidate data'!P29,"")</f>
        <v>40.400000000000006</v>
      </c>
    </row>
    <row r="28" spans="2:11" ht="12.75">
      <c r="B28" s="642"/>
      <c r="C28" s="495">
        <v>20</v>
      </c>
      <c r="D28" s="134">
        <f>IF(ISBLANK('Raw FRM data'!D30),"",'Raw FRM data'!D30)</f>
        <v>39135</v>
      </c>
      <c r="E28" s="196">
        <f>IF(G28="ok",'Raw FRM data'!N30,"")</f>
        <v>2</v>
      </c>
      <c r="F28" s="196">
        <f>IF(G28="ok",'Raw candidate data'!N30,"")</f>
        <v>3</v>
      </c>
      <c r="G28" s="146" t="str">
        <f>IF(AND('Raw FRM data'!O30="",'Raw candidate data'!O30=""),"",IF(AND('Raw FRM data'!O30="ok",'Raw candidate data'!O30="ok"),"ok","NOT VALID"))</f>
        <v>ok</v>
      </c>
      <c r="H28" s="576">
        <f>IF(G28="ok",'Raw FRM data'!S30)</f>
        <v>7.15</v>
      </c>
      <c r="I28" s="584">
        <f>IF(G28="ok",'Raw FRM data'!S30,"")</f>
        <v>7.15</v>
      </c>
      <c r="J28" s="569">
        <f>IF(G28="ok",'Raw candidate data'!P30)</f>
        <v>5.800000000000001</v>
      </c>
      <c r="K28" s="413">
        <f>IF(G28="ok",'Raw candidate data'!P30,"")</f>
        <v>5.800000000000001</v>
      </c>
    </row>
    <row r="29" spans="2:11" ht="12.75">
      <c r="B29" s="642"/>
      <c r="C29" s="495">
        <v>21</v>
      </c>
      <c r="D29" s="134">
        <f>IF(ISBLANK('Raw FRM data'!D31),"",'Raw FRM data'!D31)</f>
        <v>39136</v>
      </c>
      <c r="E29" s="196">
        <f>IF(G29="ok",'Raw FRM data'!N31,"")</f>
        <v>3</v>
      </c>
      <c r="F29" s="196">
        <f>IF(G29="ok",'Raw candidate data'!N31,"")</f>
        <v>3</v>
      </c>
      <c r="G29" s="146" t="str">
        <f>IF(AND('Raw FRM data'!O31="",'Raw candidate data'!O31=""),"",IF(AND('Raw FRM data'!O31="ok",'Raw candidate data'!O31="ok"),"ok","NOT VALID"))</f>
        <v>ok</v>
      </c>
      <c r="H29" s="576">
        <f>IF(G29="ok",'Raw FRM data'!S31)</f>
        <v>14.833333333333334</v>
      </c>
      <c r="I29" s="584">
        <f>IF(G29="ok",'Raw FRM data'!S31,"")</f>
        <v>14.833333333333334</v>
      </c>
      <c r="J29" s="569">
        <f>IF(G29="ok",'Raw candidate data'!P31)</f>
        <v>15.4</v>
      </c>
      <c r="K29" s="413">
        <f>IF(G29="ok",'Raw candidate data'!P31,"")</f>
        <v>15.4</v>
      </c>
    </row>
    <row r="30" spans="2:11" ht="12.75">
      <c r="B30" s="642"/>
      <c r="C30" s="495">
        <v>22</v>
      </c>
      <c r="D30" s="134">
        <f>IF(ISBLANK('Raw FRM data'!D32),"",'Raw FRM data'!D32)</f>
        <v>39137</v>
      </c>
      <c r="E30" s="196">
        <f>IF(G30="ok",'Raw FRM data'!N32,"")</f>
        <v>3</v>
      </c>
      <c r="F30" s="196">
        <f>IF(G30="ok",'Raw candidate data'!N32,"")</f>
        <v>3</v>
      </c>
      <c r="G30" s="146" t="str">
        <f>IF(AND('Raw FRM data'!O32="",'Raw candidate data'!O32=""),"",IF(AND('Raw FRM data'!O32="ok",'Raw candidate data'!O32="ok"),"ok","NOT VALID"))</f>
        <v>ok</v>
      </c>
      <c r="H30" s="576">
        <f>IF(G30="ok",'Raw FRM data'!S32)</f>
        <v>31.83333333333333</v>
      </c>
      <c r="I30" s="584">
        <f>IF(G30="ok",'Raw FRM data'!S32,"")</f>
        <v>31.83333333333333</v>
      </c>
      <c r="J30" s="569">
        <f>IF(G30="ok",'Raw candidate data'!P32)</f>
        <v>30.566666666666666</v>
      </c>
      <c r="K30" s="413">
        <f>IF(G30="ok",'Raw candidate data'!P32,"")</f>
        <v>30.566666666666666</v>
      </c>
    </row>
    <row r="31" spans="2:11" ht="13.5" thickBot="1">
      <c r="B31" s="643"/>
      <c r="C31" s="496">
        <v>23</v>
      </c>
      <c r="D31" s="135">
        <f>IF(ISBLANK('Raw FRM data'!D33),"",'Raw FRM data'!D33)</f>
        <v>39138</v>
      </c>
      <c r="E31" s="198">
        <f>IF(G31="ok",'Raw FRM data'!N33,"")</f>
        <v>3</v>
      </c>
      <c r="F31" s="199">
        <f>IF(G31="ok",'Raw candidate data'!N33,"")</f>
        <v>3</v>
      </c>
      <c r="G31" s="553" t="str">
        <f>IF(AND('Raw FRM data'!O33="",'Raw candidate data'!O33=""),"",IF(AND('Raw FRM data'!O33="ok",'Raw candidate data'!O33="ok"),"ok","NOT VALID"))</f>
        <v>ok</v>
      </c>
      <c r="H31" s="578">
        <f>IF(G31="ok",'Raw FRM data'!S33)</f>
        <v>13.066666666666668</v>
      </c>
      <c r="I31" s="585">
        <f>IF(G31="ok",'Raw FRM data'!S33,"")</f>
        <v>13.066666666666668</v>
      </c>
      <c r="J31" s="570">
        <f>IF(G31="ok",'Raw candidate data'!P33)</f>
        <v>14.066666666666668</v>
      </c>
      <c r="K31" s="414">
        <f>IF(G31="ok",'Raw candidate data'!P33,"")</f>
        <v>14.066666666666668</v>
      </c>
    </row>
    <row r="32" spans="2:11" ht="12.75" customHeight="1">
      <c r="B32" s="639" t="s">
        <v>47</v>
      </c>
      <c r="C32" s="494">
        <v>24</v>
      </c>
      <c r="D32" s="136">
        <f>IF(ISBLANK('Raw FRM data'!D34),"",'Raw FRM data'!D34)</f>
        <v>39139</v>
      </c>
      <c r="E32" s="196">
        <f>IF(G32="ok",'Raw FRM data'!N34,"")</f>
        <v>3</v>
      </c>
      <c r="F32" s="196">
        <f>IF(G32="ok",'Raw candidate data'!N34,"")</f>
        <v>3</v>
      </c>
      <c r="G32" s="147" t="str">
        <f>IF(AND('Raw FRM data'!O34="",'Raw candidate data'!O34=""),"",IF(AND('Raw FRM data'!O34="ok",'Raw candidate data'!O34="ok"),"ok","NOT VALID"))</f>
        <v>ok</v>
      </c>
      <c r="H32" s="577">
        <f>IF(G32="ok",'Raw FRM data'!S34)</f>
        <v>26</v>
      </c>
      <c r="I32" s="586">
        <f>IF(G32="ok",'Raw FRM data'!S34,"")</f>
        <v>26</v>
      </c>
      <c r="J32" s="571">
        <f>IF(G32="ok",'Raw candidate data'!P34)</f>
        <v>27.100000000000005</v>
      </c>
      <c r="K32" s="415">
        <f>IF(G32="ok",'Raw candidate data'!P34,"")</f>
        <v>27.100000000000005</v>
      </c>
    </row>
    <row r="33" spans="2:11" ht="12.75">
      <c r="B33" s="640"/>
      <c r="C33" s="495">
        <v>25</v>
      </c>
      <c r="D33" s="134">
        <f>IF(ISBLANK('Raw FRM data'!D35),"",'Raw FRM data'!D35)</f>
        <v>39140</v>
      </c>
      <c r="E33" s="196">
        <f>IF(G33="ok",'Raw FRM data'!N35,"")</f>
        <v>3</v>
      </c>
      <c r="F33" s="196">
        <f>IF(G33="ok",'Raw candidate data'!N35,"")</f>
        <v>3</v>
      </c>
      <c r="G33" s="146" t="str">
        <f>IF(AND('Raw FRM data'!O35="",'Raw candidate data'!O35=""),"",IF(AND('Raw FRM data'!O35="ok",'Raw candidate data'!O35="ok"),"ok","NOT VALID"))</f>
        <v>ok</v>
      </c>
      <c r="H33" s="576">
        <f>IF(G33="ok",'Raw FRM data'!S35)</f>
        <v>48.26666666666667</v>
      </c>
      <c r="I33" s="584">
        <f>IF(G33="ok",'Raw FRM data'!S35,"")</f>
        <v>48.26666666666667</v>
      </c>
      <c r="J33" s="569">
        <f>IF(G33="ok",'Raw candidate data'!P35)</f>
        <v>48.833333333333336</v>
      </c>
      <c r="K33" s="413">
        <f>IF(G33="ok",'Raw candidate data'!P35,"")</f>
        <v>48.833333333333336</v>
      </c>
    </row>
    <row r="34" spans="2:11" ht="12.75">
      <c r="B34" s="640"/>
      <c r="C34" s="495">
        <v>26</v>
      </c>
      <c r="D34" s="134">
        <f>IF(ISBLANK('Raw FRM data'!D36),"",'Raw FRM data'!D36)</f>
        <v>39141</v>
      </c>
      <c r="E34" s="196">
        <f>IF(G34="ok",'Raw FRM data'!N36,"")</f>
        <v>3</v>
      </c>
      <c r="F34" s="196">
        <f>IF(G34="ok",'Raw candidate data'!N36,"")</f>
        <v>3</v>
      </c>
      <c r="G34" s="146" t="str">
        <f>IF(AND('Raw FRM data'!O36="",'Raw candidate data'!O36=""),"",IF(AND('Raw FRM data'!O36="ok",'Raw candidate data'!O36="ok"),"ok","NOT VALID"))</f>
        <v>ok</v>
      </c>
      <c r="H34" s="576">
        <f>IF(G34="ok",'Raw FRM data'!S36)</f>
        <v>45.70000000000001</v>
      </c>
      <c r="I34" s="584">
        <f>IF(G34="ok",'Raw FRM data'!S36,"")</f>
        <v>45.70000000000001</v>
      </c>
      <c r="J34" s="569">
        <f>IF(G34="ok",'Raw candidate data'!P36)</f>
        <v>47.5</v>
      </c>
      <c r="K34" s="413">
        <f>IF(G34="ok",'Raw candidate data'!P36,"")</f>
        <v>47.5</v>
      </c>
    </row>
    <row r="35" spans="2:11" ht="12.75">
      <c r="B35" s="640"/>
      <c r="C35" s="495">
        <v>27</v>
      </c>
      <c r="D35" s="134">
        <f>IF(ISBLANK('Raw FRM data'!D37),"",'Raw FRM data'!D37)</f>
        <v>39142</v>
      </c>
      <c r="E35" s="196">
        <f>IF(G35="ok",'Raw FRM data'!N37,"")</f>
        <v>3</v>
      </c>
      <c r="F35" s="196">
        <f>IF(G35="ok",'Raw candidate data'!N37,"")</f>
        <v>3</v>
      </c>
      <c r="G35" s="146" t="str">
        <f>IF(AND('Raw FRM data'!O37="",'Raw candidate data'!O37=""),"",IF(AND('Raw FRM data'!O37="ok",'Raw candidate data'!O37="ok"),"ok","NOT VALID"))</f>
        <v>ok</v>
      </c>
      <c r="H35" s="576">
        <f>IF(G35="ok",'Raw FRM data'!S37)</f>
        <v>21.96666666666667</v>
      </c>
      <c r="I35" s="584">
        <f>IF(G35="ok",'Raw FRM data'!S37,"")</f>
        <v>21.96666666666667</v>
      </c>
      <c r="J35" s="569">
        <f>IF(G35="ok",'Raw candidate data'!P37)</f>
        <v>21.766666666666666</v>
      </c>
      <c r="K35" s="413">
        <f>IF(G35="ok",'Raw candidate data'!P37,"")</f>
        <v>21.766666666666666</v>
      </c>
    </row>
    <row r="36" spans="2:11" ht="12.75">
      <c r="B36" s="640"/>
      <c r="C36" s="495">
        <v>28</v>
      </c>
      <c r="D36" s="134">
        <f>IF(ISBLANK('Raw FRM data'!D38),"",'Raw FRM data'!D38)</f>
      </c>
      <c r="E36" s="196">
        <f>IF(G36="ok",'Raw FRM data'!N38,"")</f>
      </c>
      <c r="F36" s="196">
        <f>IF(G36="ok",'Raw candidate data'!N38,"")</f>
      </c>
      <c r="G36" s="146">
        <f>IF(AND('Raw FRM data'!O38="",'Raw candidate data'!O38=""),"",IF(AND('Raw FRM data'!O38="ok",'Raw candidate data'!O38="ok"),"ok","NOT VALID"))</f>
      </c>
      <c r="H36" s="576" t="b">
        <f>IF(G36="ok",'Raw FRM data'!S38)</f>
        <v>0</v>
      </c>
      <c r="I36" s="584">
        <f>IF(G36="ok",'Raw FRM data'!S38,"")</f>
      </c>
      <c r="J36" s="569" t="b">
        <f>IF(G36="ok",'Raw candidate data'!P38)</f>
        <v>0</v>
      </c>
      <c r="K36" s="413">
        <f>IF(G36="ok",'Raw candidate data'!P38,"")</f>
      </c>
    </row>
    <row r="37" spans="2:11" ht="12.75">
      <c r="B37" s="640"/>
      <c r="C37" s="495">
        <v>29</v>
      </c>
      <c r="D37" s="134">
        <f>IF(ISBLANK('Raw FRM data'!D39),"",'Raw FRM data'!D39)</f>
      </c>
      <c r="E37" s="196">
        <f>IF(G37="ok",'Raw FRM data'!N39,"")</f>
      </c>
      <c r="F37" s="196">
        <f>IF(G37="ok",'Raw candidate data'!N39,"")</f>
      </c>
      <c r="G37" s="146">
        <f>IF(AND('Raw FRM data'!O39="",'Raw candidate data'!O39=""),"",IF(AND('Raw FRM data'!O39="ok",'Raw candidate data'!O39="ok"),"ok","NOT VALID"))</f>
      </c>
      <c r="H37" s="576" t="b">
        <f>IF(G37="ok",'Raw FRM data'!S39)</f>
        <v>0</v>
      </c>
      <c r="I37" s="584">
        <f>IF(G37="ok",'Raw FRM data'!S39,"")</f>
      </c>
      <c r="J37" s="569" t="b">
        <f>IF(G37="ok",'Raw candidate data'!P39)</f>
        <v>0</v>
      </c>
      <c r="K37" s="413">
        <f>IF(G37="ok",'Raw candidate data'!P39,"")</f>
      </c>
    </row>
    <row r="38" spans="2:11" ht="12.75">
      <c r="B38" s="640"/>
      <c r="C38" s="495">
        <v>30</v>
      </c>
      <c r="D38" s="134">
        <f>IF(ISBLANK('Raw FRM data'!D40),"",'Raw FRM data'!D40)</f>
      </c>
      <c r="E38" s="196">
        <f>IF(G38="ok",'Raw FRM data'!N40,"")</f>
      </c>
      <c r="F38" s="196">
        <f>IF(G38="ok",'Raw candidate data'!N40,"")</f>
      </c>
      <c r="G38" s="146">
        <f>IF(AND('Raw FRM data'!O40="",'Raw candidate data'!O40=""),"",IF(AND('Raw FRM data'!O40="ok",'Raw candidate data'!O40="ok"),"ok","NOT VALID"))</f>
      </c>
      <c r="H38" s="576" t="b">
        <f>IF(G38="ok",'Raw FRM data'!S40)</f>
        <v>0</v>
      </c>
      <c r="I38" s="584">
        <f>IF(G38="ok",'Raw FRM data'!S40,"")</f>
      </c>
      <c r="J38" s="569" t="b">
        <f>IF(G38="ok",'Raw candidate data'!P40)</f>
        <v>0</v>
      </c>
      <c r="K38" s="413">
        <f>IF(G38="ok",'Raw candidate data'!P40,"")</f>
      </c>
    </row>
    <row r="39" spans="2:11" ht="12.75">
      <c r="B39" s="640"/>
      <c r="C39" s="495">
        <v>31</v>
      </c>
      <c r="D39" s="134">
        <f>IF(ISBLANK('Raw FRM data'!D41),"",'Raw FRM data'!D41)</f>
      </c>
      <c r="E39" s="196">
        <f>IF(G39="ok",'Raw FRM data'!N41,"")</f>
      </c>
      <c r="F39" s="196">
        <f>IF(G39="ok",'Raw candidate data'!N41,"")</f>
      </c>
      <c r="G39" s="146">
        <f>IF(AND('Raw FRM data'!O41="",'Raw candidate data'!O41=""),"",IF(AND('Raw FRM data'!O41="ok",'Raw candidate data'!O41="ok"),"ok","NOT VALID"))</f>
      </c>
      <c r="H39" s="576" t="b">
        <f>IF(G39="ok",'Raw FRM data'!S41)</f>
        <v>0</v>
      </c>
      <c r="I39" s="584">
        <f>IF(G39="ok",'Raw FRM data'!S41,"")</f>
      </c>
      <c r="J39" s="569" t="b">
        <f>IF(G39="ok",'Raw candidate data'!P41)</f>
        <v>0</v>
      </c>
      <c r="K39" s="413">
        <f>IF(G39="ok",'Raw candidate data'!P41,"")</f>
      </c>
    </row>
    <row r="40" spans="2:11" ht="12.75">
      <c r="B40" s="640"/>
      <c r="C40" s="495">
        <v>32</v>
      </c>
      <c r="D40" s="134">
        <f>IF(ISBLANK('Raw FRM data'!D42),"",'Raw FRM data'!D42)</f>
      </c>
      <c r="E40" s="196">
        <f>IF(G40="ok",'Raw FRM data'!N42,"")</f>
      </c>
      <c r="F40" s="196">
        <f>IF(G40="ok",'Raw candidate data'!N42,"")</f>
      </c>
      <c r="G40" s="146">
        <f>IF(AND('Raw FRM data'!O42="",'Raw candidate data'!O42=""),"",IF(AND('Raw FRM data'!O42="ok",'Raw candidate data'!O42="ok"),"ok","NOT VALID"))</f>
      </c>
      <c r="H40" s="576" t="b">
        <f>IF(G40="ok",'Raw FRM data'!S42)</f>
        <v>0</v>
      </c>
      <c r="I40" s="584">
        <f>IF(G40="ok",'Raw FRM data'!S42,"")</f>
      </c>
      <c r="J40" s="569" t="b">
        <f>IF(G40="ok",'Raw candidate data'!P42)</f>
        <v>0</v>
      </c>
      <c r="K40" s="413">
        <f>IF(G40="ok",'Raw candidate data'!P42,"")</f>
      </c>
    </row>
    <row r="41" spans="2:11" ht="12.75">
      <c r="B41" s="640"/>
      <c r="C41" s="495">
        <v>33</v>
      </c>
      <c r="D41" s="134">
        <f>IF(ISBLANK('Raw FRM data'!D43),"",'Raw FRM data'!D43)</f>
      </c>
      <c r="E41" s="196">
        <f>IF(G41="ok",'Raw FRM data'!N43,"")</f>
      </c>
      <c r="F41" s="196">
        <f>IF(G41="ok",'Raw candidate data'!N43,"")</f>
      </c>
      <c r="G41" s="146">
        <f>IF(AND('Raw FRM data'!O43="",'Raw candidate data'!O43=""),"",IF(AND('Raw FRM data'!O43="ok",'Raw candidate data'!O43="ok"),"ok","NOT VALID"))</f>
      </c>
      <c r="H41" s="576" t="b">
        <f>IF(G41="ok",'Raw FRM data'!S43)</f>
        <v>0</v>
      </c>
      <c r="I41" s="584">
        <f>IF(G41="ok",'Raw FRM data'!S43,"")</f>
      </c>
      <c r="J41" s="569" t="b">
        <f>IF(G41="ok",'Raw candidate data'!P43)</f>
        <v>0</v>
      </c>
      <c r="K41" s="413">
        <f>IF(G41="ok",'Raw candidate data'!P43,"")</f>
      </c>
    </row>
    <row r="42" spans="2:11" ht="12.75">
      <c r="B42" s="640"/>
      <c r="C42" s="495">
        <v>34</v>
      </c>
      <c r="D42" s="134">
        <f>IF(ISBLANK('Raw FRM data'!D44),"",'Raw FRM data'!D44)</f>
      </c>
      <c r="E42" s="196">
        <f>IF(G42="ok",'Raw FRM data'!N44,"")</f>
      </c>
      <c r="F42" s="196">
        <f>IF(G42="ok",'Raw candidate data'!N44,"")</f>
      </c>
      <c r="G42" s="146">
        <f>IF(AND('Raw FRM data'!O44="",'Raw candidate data'!O44=""),"",IF(AND('Raw FRM data'!O44="ok",'Raw candidate data'!O44="ok"),"ok","NOT VALID"))</f>
      </c>
      <c r="H42" s="576" t="b">
        <f>IF(G42="ok",'Raw FRM data'!S44)</f>
        <v>0</v>
      </c>
      <c r="I42" s="584">
        <f>IF(G42="ok",'Raw FRM data'!S44,"")</f>
      </c>
      <c r="J42" s="569" t="b">
        <f>IF(G42="ok",'Raw candidate data'!P44)</f>
        <v>0</v>
      </c>
      <c r="K42" s="413">
        <f>IF(G42="ok",'Raw candidate data'!P44,"")</f>
      </c>
    </row>
    <row r="43" spans="2:11" ht="12.75">
      <c r="B43" s="640"/>
      <c r="C43" s="495">
        <v>35</v>
      </c>
      <c r="D43" s="134">
        <f>IF(ISBLANK('Raw FRM data'!D45),"",'Raw FRM data'!D45)</f>
      </c>
      <c r="E43" s="196">
        <f>IF(G43="ok",'Raw FRM data'!N45,"")</f>
      </c>
      <c r="F43" s="196">
        <f>IF(G43="ok",'Raw candidate data'!N45,"")</f>
      </c>
      <c r="G43" s="146">
        <f>IF(AND('Raw FRM data'!O45="",'Raw candidate data'!O45=""),"",IF(AND('Raw FRM data'!O45="ok",'Raw candidate data'!O45="ok"),"ok","NOT VALID"))</f>
      </c>
      <c r="H43" s="576" t="b">
        <f>IF(G43="ok",'Raw FRM data'!S45)</f>
        <v>0</v>
      </c>
      <c r="I43" s="584">
        <f>IF(G43="ok",'Raw FRM data'!S45,"")</f>
      </c>
      <c r="J43" s="569" t="b">
        <f>IF(G43="ok",'Raw candidate data'!P45)</f>
        <v>0</v>
      </c>
      <c r="K43" s="413">
        <f>IF(G43="ok",'Raw candidate data'!P45,"")</f>
      </c>
    </row>
    <row r="44" spans="2:11" ht="12.75">
      <c r="B44" s="640"/>
      <c r="C44" s="495">
        <v>36</v>
      </c>
      <c r="D44" s="134">
        <f>IF(ISBLANK('Raw FRM data'!D46),"",'Raw FRM data'!D46)</f>
      </c>
      <c r="E44" s="196">
        <f>IF(G44="ok",'Raw FRM data'!N46,"")</f>
      </c>
      <c r="F44" s="196">
        <f>IF(G44="ok",'Raw candidate data'!N46,"")</f>
      </c>
      <c r="G44" s="146">
        <f>IF(AND('Raw FRM data'!O46="",'Raw candidate data'!O46=""),"",IF(AND('Raw FRM data'!O46="ok",'Raw candidate data'!O46="ok"),"ok","NOT VALID"))</f>
      </c>
      <c r="H44" s="576" t="b">
        <f>IF(G44="ok",'Raw FRM data'!S46)</f>
        <v>0</v>
      </c>
      <c r="I44" s="584">
        <f>IF(G44="ok",'Raw FRM data'!S46,"")</f>
      </c>
      <c r="J44" s="569" t="b">
        <f>IF(G44="ok",'Raw candidate data'!P46)</f>
        <v>0</v>
      </c>
      <c r="K44" s="413">
        <f>IF(G44="ok",'Raw candidate data'!P46,"")</f>
      </c>
    </row>
    <row r="45" spans="2:11" ht="12.75">
      <c r="B45" s="640"/>
      <c r="C45" s="495">
        <v>37</v>
      </c>
      <c r="D45" s="134">
        <f>IF(ISBLANK('Raw FRM data'!D47),"",'Raw FRM data'!D47)</f>
      </c>
      <c r="E45" s="196">
        <f>IF(G45="ok",'Raw FRM data'!N47,"")</f>
      </c>
      <c r="F45" s="196">
        <f>IF(G45="ok",'Raw candidate data'!N47,"")</f>
      </c>
      <c r="G45" s="146">
        <f>IF(AND('Raw FRM data'!O47="",'Raw candidate data'!O47=""),"",IF(AND('Raw FRM data'!O47="ok",'Raw candidate data'!O47="ok"),"ok","NOT VALID"))</f>
      </c>
      <c r="H45" s="576" t="b">
        <f>IF(G45="ok",'Raw FRM data'!S47)</f>
        <v>0</v>
      </c>
      <c r="I45" s="584">
        <f>IF(G45="ok",'Raw FRM data'!S47,"")</f>
      </c>
      <c r="J45" s="569" t="b">
        <f>IF(G45="ok",'Raw candidate data'!P47)</f>
        <v>0</v>
      </c>
      <c r="K45" s="413">
        <f>IF(G45="ok",'Raw candidate data'!P47,"")</f>
      </c>
    </row>
    <row r="46" spans="2:11" ht="12.75">
      <c r="B46" s="640"/>
      <c r="C46" s="495">
        <v>38</v>
      </c>
      <c r="D46" s="134">
        <f>IF(ISBLANK('Raw FRM data'!D48),"",'Raw FRM data'!D48)</f>
      </c>
      <c r="E46" s="196">
        <f>IF(G46="ok",'Raw FRM data'!N48,"")</f>
      </c>
      <c r="F46" s="196">
        <f>IF(G46="ok",'Raw candidate data'!N48,"")</f>
      </c>
      <c r="G46" s="146">
        <f>IF(AND('Raw FRM data'!O48="",'Raw candidate data'!O48=""),"",IF(AND('Raw FRM data'!O48="ok",'Raw candidate data'!O48="ok"),"ok","NOT VALID"))</f>
      </c>
      <c r="H46" s="576" t="b">
        <f>IF(G46="ok",'Raw FRM data'!S48)</f>
        <v>0</v>
      </c>
      <c r="I46" s="584">
        <f>IF(G46="ok",'Raw FRM data'!S48,"")</f>
      </c>
      <c r="J46" s="569" t="b">
        <f>IF(G46="ok",'Raw candidate data'!P48)</f>
        <v>0</v>
      </c>
      <c r="K46" s="413">
        <f>IF(G46="ok",'Raw candidate data'!P48,"")</f>
      </c>
    </row>
    <row r="47" spans="2:11" ht="12.75">
      <c r="B47" s="640"/>
      <c r="C47" s="495">
        <v>39</v>
      </c>
      <c r="D47" s="134">
        <f>IF(ISBLANK('Raw FRM data'!D49),"",'Raw FRM data'!D49)</f>
      </c>
      <c r="E47" s="196">
        <f>IF(G47="ok",'Raw FRM data'!N49,"")</f>
      </c>
      <c r="F47" s="196">
        <f>IF(G47="ok",'Raw candidate data'!N49,"")</f>
      </c>
      <c r="G47" s="146">
        <f>IF(AND('Raw FRM data'!O49="",'Raw candidate data'!O49=""),"",IF(AND('Raw FRM data'!O49="ok",'Raw candidate data'!O49="ok"),"ok","NOT VALID"))</f>
      </c>
      <c r="H47" s="576" t="b">
        <f>IF(G47="ok",'Raw FRM data'!S49)</f>
        <v>0</v>
      </c>
      <c r="I47" s="584">
        <f>IF(G47="ok",'Raw FRM data'!S49,"")</f>
      </c>
      <c r="J47" s="569" t="b">
        <f>IF(G47="ok",'Raw candidate data'!P49)</f>
        <v>0</v>
      </c>
      <c r="K47" s="413">
        <f>IF(G47="ok",'Raw candidate data'!P49,"")</f>
      </c>
    </row>
    <row r="48" spans="2:11" ht="12.75">
      <c r="B48" s="640"/>
      <c r="C48" s="495">
        <v>40</v>
      </c>
      <c r="D48" s="134">
        <f>IF(ISBLANK('Raw FRM data'!D50),"",'Raw FRM data'!D50)</f>
      </c>
      <c r="E48" s="196">
        <f>IF(G48="ok",'Raw FRM data'!N50,"")</f>
      </c>
      <c r="F48" s="196">
        <f>IF(G48="ok",'Raw candidate data'!N50,"")</f>
      </c>
      <c r="G48" s="146">
        <f>IF(AND('Raw FRM data'!O50="",'Raw candidate data'!O50=""),"",IF(AND('Raw FRM data'!O50="ok",'Raw candidate data'!O50="ok"),"ok","NOT VALID"))</f>
      </c>
      <c r="H48" s="576" t="b">
        <f>IF(G48="ok",'Raw FRM data'!S50)</f>
        <v>0</v>
      </c>
      <c r="I48" s="584">
        <f>IF(G48="ok",'Raw FRM data'!S50,"")</f>
      </c>
      <c r="J48" s="569" t="b">
        <f>IF(G48="ok",'Raw candidate data'!P50)</f>
        <v>0</v>
      </c>
      <c r="K48" s="413">
        <f>IF(G48="ok",'Raw candidate data'!P50,"")</f>
      </c>
    </row>
    <row r="49" spans="2:11" ht="12.75">
      <c r="B49" s="640"/>
      <c r="C49" s="495">
        <v>41</v>
      </c>
      <c r="D49" s="134">
        <f>IF(ISBLANK('Raw FRM data'!D51),"",'Raw FRM data'!D51)</f>
      </c>
      <c r="E49" s="196">
        <f>IF(G49="ok",'Raw FRM data'!N51,"")</f>
      </c>
      <c r="F49" s="196">
        <f>IF(G49="ok",'Raw candidate data'!N51,"")</f>
      </c>
      <c r="G49" s="146">
        <f>IF(AND('Raw FRM data'!O51="",'Raw candidate data'!O51=""),"",IF(AND('Raw FRM data'!O51="ok",'Raw candidate data'!O51="ok"),"ok","NOT VALID"))</f>
      </c>
      <c r="H49" s="576" t="b">
        <f>IF(G49="ok",'Raw FRM data'!S51)</f>
        <v>0</v>
      </c>
      <c r="I49" s="584">
        <f>IF(G49="ok",'Raw FRM data'!S51,"")</f>
      </c>
      <c r="J49" s="569" t="b">
        <f>IF(G49="ok",'Raw candidate data'!P51)</f>
        <v>0</v>
      </c>
      <c r="K49" s="413">
        <f>IF(G49="ok",'Raw candidate data'!P51,"")</f>
      </c>
    </row>
    <row r="50" spans="2:11" ht="12.75">
      <c r="B50" s="640"/>
      <c r="C50" s="495">
        <v>42</v>
      </c>
      <c r="D50" s="134">
        <f>IF(ISBLANK('Raw FRM data'!D52),"",'Raw FRM data'!D52)</f>
      </c>
      <c r="E50" s="196">
        <f>IF(G50="ok",'Raw FRM data'!N52,"")</f>
      </c>
      <c r="F50" s="196">
        <f>IF(G50="ok",'Raw candidate data'!N52,"")</f>
      </c>
      <c r="G50" s="146">
        <f>IF(AND('Raw FRM data'!O52="",'Raw candidate data'!O52=""),"",IF(AND('Raw FRM data'!O52="ok",'Raw candidate data'!O52="ok"),"ok","NOT VALID"))</f>
      </c>
      <c r="H50" s="576" t="b">
        <f>IF(G50="ok",'Raw FRM data'!S52)</f>
        <v>0</v>
      </c>
      <c r="I50" s="584">
        <f>IF(G50="ok",'Raw FRM data'!S52,"")</f>
      </c>
      <c r="J50" s="569" t="b">
        <f>IF(G50="ok",'Raw candidate data'!P52)</f>
        <v>0</v>
      </c>
      <c r="K50" s="413">
        <f>IF(G50="ok",'Raw candidate data'!P52,"")</f>
      </c>
    </row>
    <row r="51" spans="2:11" ht="12.75">
      <c r="B51" s="640"/>
      <c r="C51" s="495">
        <v>43</v>
      </c>
      <c r="D51" s="134">
        <f>IF(ISBLANK('Raw FRM data'!D53),"",'Raw FRM data'!D53)</f>
      </c>
      <c r="E51" s="196">
        <f>IF(G51="ok",'Raw FRM data'!N53,"")</f>
      </c>
      <c r="F51" s="196">
        <f>IF(G51="ok",'Raw candidate data'!N53,"")</f>
      </c>
      <c r="G51" s="146">
        <f>IF(AND('Raw FRM data'!O53="",'Raw candidate data'!O53=""),"",IF(AND('Raw FRM data'!O53="ok",'Raw candidate data'!O53="ok"),"ok","NOT VALID"))</f>
      </c>
      <c r="H51" s="576" t="b">
        <f>IF(G51="ok",'Raw FRM data'!S53)</f>
        <v>0</v>
      </c>
      <c r="I51" s="584">
        <f>IF(G51="ok",'Raw FRM data'!S53,"")</f>
      </c>
      <c r="J51" s="569" t="b">
        <f>IF(G51="ok",'Raw candidate data'!P53)</f>
        <v>0</v>
      </c>
      <c r="K51" s="413">
        <f>IF(G51="ok",'Raw candidate data'!P53,"")</f>
      </c>
    </row>
    <row r="52" spans="2:11" ht="12.75">
      <c r="B52" s="640"/>
      <c r="C52" s="495">
        <v>44</v>
      </c>
      <c r="D52" s="134">
        <f>IF(ISBLANK('Raw FRM data'!D54),"",'Raw FRM data'!D54)</f>
      </c>
      <c r="E52" s="196">
        <f>IF(G52="ok",'Raw FRM data'!N54,"")</f>
      </c>
      <c r="F52" s="196">
        <f>IF(G52="ok",'Raw candidate data'!N54,"")</f>
      </c>
      <c r="G52" s="146">
        <f>IF(AND('Raw FRM data'!O54="",'Raw candidate data'!O54=""),"",IF(AND('Raw FRM data'!O54="ok",'Raw candidate data'!O54="ok"),"ok","NOT VALID"))</f>
      </c>
      <c r="H52" s="576" t="b">
        <f>IF(G52="ok",'Raw FRM data'!S54)</f>
        <v>0</v>
      </c>
      <c r="I52" s="584">
        <f>IF(G52="ok",'Raw FRM data'!S54,"")</f>
      </c>
      <c r="J52" s="569" t="b">
        <f>IF(G52="ok",'Raw candidate data'!P54)</f>
        <v>0</v>
      </c>
      <c r="K52" s="413">
        <f>IF(G52="ok",'Raw candidate data'!P54,"")</f>
      </c>
    </row>
    <row r="53" spans="2:11" ht="12.75">
      <c r="B53" s="640"/>
      <c r="C53" s="495">
        <v>45</v>
      </c>
      <c r="D53" s="134">
        <f>IF(ISBLANK('Raw FRM data'!D55),"",'Raw FRM data'!D55)</f>
      </c>
      <c r="E53" s="196">
        <f>IF(G53="ok",'Raw FRM data'!N55,"")</f>
      </c>
      <c r="F53" s="196">
        <f>IF(G53="ok",'Raw candidate data'!N55,"")</f>
      </c>
      <c r="G53" s="146">
        <f>IF(AND('Raw FRM data'!O55="",'Raw candidate data'!O55=""),"",IF(AND('Raw FRM data'!O55="ok",'Raw candidate data'!O55="ok"),"ok","NOT VALID"))</f>
      </c>
      <c r="H53" s="576" t="b">
        <f>IF(G53="ok",'Raw FRM data'!S55)</f>
        <v>0</v>
      </c>
      <c r="I53" s="584">
        <f>IF(G53="ok",'Raw FRM data'!S55,"")</f>
      </c>
      <c r="J53" s="569" t="b">
        <f>IF(G53="ok",'Raw candidate data'!P55)</f>
        <v>0</v>
      </c>
      <c r="K53" s="413">
        <f>IF(G53="ok",'Raw candidate data'!P55,"")</f>
      </c>
    </row>
    <row r="54" spans="2:11" ht="13.5" thickBot="1">
      <c r="B54" s="645"/>
      <c r="C54" s="496">
        <v>46</v>
      </c>
      <c r="D54" s="135">
        <f>IF(ISBLANK('Raw FRM data'!D56),"",'Raw FRM data'!D56)</f>
      </c>
      <c r="E54" s="198">
        <f>IF(G54="ok",'Raw FRM data'!N56,"")</f>
      </c>
      <c r="F54" s="199">
        <f>IF(G54="ok",'Raw candidate data'!N56,"")</f>
      </c>
      <c r="G54" s="553">
        <f>IF(AND('Raw FRM data'!O56="",'Raw candidate data'!O56=""),"",IF(AND('Raw FRM data'!O56="ok",'Raw candidate data'!O56="ok"),"ok","NOT VALID"))</f>
      </c>
      <c r="H54" s="578" t="b">
        <f>IF(G54="ok",'Raw FRM data'!S56)</f>
        <v>0</v>
      </c>
      <c r="I54" s="585">
        <f>IF(G54="ok",'Raw FRM data'!S56,"")</f>
      </c>
      <c r="J54" s="570" t="b">
        <f>IF(G54="ok",'Raw candidate data'!P56)</f>
        <v>0</v>
      </c>
      <c r="K54" s="414">
        <f>IF(G54="ok",'Raw candidate data'!P56,"")</f>
      </c>
    </row>
    <row r="55" spans="2:11" ht="12.75" customHeight="1">
      <c r="B55" s="639" t="s">
        <v>163</v>
      </c>
      <c r="C55" s="494">
        <v>47</v>
      </c>
      <c r="D55" s="133">
        <f>IF(ISBLANK('Raw FRM data'!D57),"",'Raw FRM data'!D57)</f>
      </c>
      <c r="E55" s="498">
        <f>IF(G55="ok",'Raw FRM data'!N57,"")</f>
      </c>
      <c r="F55" s="498">
        <f>IF(G55="ok",'Raw candidate data'!N57,"")</f>
      </c>
      <c r="G55" s="574">
        <f>IF(AND('Raw FRM data'!O57="",'Raw candidate data'!O57=""),"",IF(AND('Raw FRM data'!O57="ok",'Raw candidate data'!O57="ok"),"ok","NOT VALID"))</f>
      </c>
      <c r="H55" s="579" t="b">
        <f>IF(G55="ok",'Raw FRM data'!S57)</f>
        <v>0</v>
      </c>
      <c r="I55" s="583">
        <f>IF(G55="ok",'Raw FRM data'!S57,"")</f>
      </c>
      <c r="J55" s="568" t="b">
        <f>IF(G55="ok",'Raw candidate data'!P57)</f>
        <v>0</v>
      </c>
      <c r="K55" s="412">
        <f>IF(G55="ok",'Raw candidate data'!P57,"")</f>
      </c>
    </row>
    <row r="56" spans="2:11" ht="12.75" customHeight="1">
      <c r="B56" s="640"/>
      <c r="C56" s="495">
        <v>48</v>
      </c>
      <c r="D56" s="134">
        <f>IF(ISBLANK('Raw FRM data'!D58),"",'Raw FRM data'!D58)</f>
      </c>
      <c r="E56" s="499">
        <f>IF(G56="ok",'Raw FRM data'!N58,"")</f>
      </c>
      <c r="F56" s="499">
        <f>IF(G56="ok",'Raw candidate data'!N58,"")</f>
      </c>
      <c r="G56" s="146">
        <f>IF(AND('Raw FRM data'!O58="",'Raw candidate data'!O58=""),"",IF(AND('Raw FRM data'!O58="ok",'Raw candidate data'!O58="ok"),"ok","NOT VALID"))</f>
      </c>
      <c r="H56" s="576" t="b">
        <f>IF(G56="ok",'Raw FRM data'!S58)</f>
        <v>0</v>
      </c>
      <c r="I56" s="584">
        <f>IF(G56="ok",'Raw FRM data'!S58,"")</f>
      </c>
      <c r="J56" s="569" t="b">
        <f>IF(G56="ok",'Raw candidate data'!P58)</f>
        <v>0</v>
      </c>
      <c r="K56" s="413">
        <f>IF(G56="ok",'Raw candidate data'!P58,"")</f>
      </c>
    </row>
    <row r="57" spans="2:11" ht="12.75" customHeight="1">
      <c r="B57" s="640"/>
      <c r="C57" s="495">
        <v>49</v>
      </c>
      <c r="D57" s="134">
        <f>IF(ISBLANK('Raw FRM data'!D59),"",'Raw FRM data'!D59)</f>
      </c>
      <c r="E57" s="499">
        <f>IF(G57="ok",'Raw FRM data'!N59,"")</f>
      </c>
      <c r="F57" s="499">
        <f>IF(G57="ok",'Raw candidate data'!N59,"")</f>
      </c>
      <c r="G57" s="146">
        <f>IF(AND('Raw FRM data'!O59="",'Raw candidate data'!O59=""),"",IF(AND('Raw FRM data'!O59="ok",'Raw candidate data'!O59="ok"),"ok","NOT VALID"))</f>
      </c>
      <c r="H57" s="576" t="b">
        <f>IF(G57="ok",'Raw FRM data'!S59)</f>
        <v>0</v>
      </c>
      <c r="I57" s="584">
        <f>IF(G57="ok",'Raw FRM data'!S59,"")</f>
      </c>
      <c r="J57" s="569" t="b">
        <f>IF(G57="ok",'Raw candidate data'!P59)</f>
        <v>0</v>
      </c>
      <c r="K57" s="413">
        <f>IF(G57="ok",'Raw candidate data'!P59,"")</f>
      </c>
    </row>
    <row r="58" spans="2:11" ht="12.75" customHeight="1">
      <c r="B58" s="640"/>
      <c r="C58" s="495">
        <v>50</v>
      </c>
      <c r="D58" s="134">
        <f>IF(ISBLANK('Raw FRM data'!D60),"",'Raw FRM data'!D60)</f>
      </c>
      <c r="E58" s="499">
        <f>IF(G58="ok",'Raw FRM data'!N60,"")</f>
      </c>
      <c r="F58" s="499">
        <f>IF(G58="ok",'Raw candidate data'!N60,"")</f>
      </c>
      <c r="G58" s="146">
        <f>IF(AND('Raw FRM data'!O60="",'Raw candidate data'!O60=""),"",IF(AND('Raw FRM data'!O60="ok",'Raw candidate data'!O60="ok"),"ok","NOT VALID"))</f>
      </c>
      <c r="H58" s="576" t="b">
        <f>IF(G58="ok",'Raw FRM data'!S60)</f>
        <v>0</v>
      </c>
      <c r="I58" s="584">
        <f>IF(G58="ok",'Raw FRM data'!S60,"")</f>
      </c>
      <c r="J58" s="569" t="b">
        <f>IF(G58="ok",'Raw candidate data'!P60)</f>
        <v>0</v>
      </c>
      <c r="K58" s="413">
        <f>IF(G58="ok",'Raw candidate data'!P60,"")</f>
      </c>
    </row>
    <row r="59" spans="2:11" ht="12.75" customHeight="1">
      <c r="B59" s="640"/>
      <c r="C59" s="495">
        <v>51</v>
      </c>
      <c r="D59" s="134">
        <f>IF(ISBLANK('Raw FRM data'!D61),"",'Raw FRM data'!D61)</f>
      </c>
      <c r="E59" s="499">
        <f>IF(G59="ok",'Raw FRM data'!N61,"")</f>
      </c>
      <c r="F59" s="499">
        <f>IF(G59="ok",'Raw candidate data'!N61,"")</f>
      </c>
      <c r="G59" s="146">
        <f>IF(AND('Raw FRM data'!O61="",'Raw candidate data'!O61=""),"",IF(AND('Raw FRM data'!O61="ok",'Raw candidate data'!O61="ok"),"ok","NOT VALID"))</f>
      </c>
      <c r="H59" s="576" t="b">
        <f>IF(G59="ok",'Raw FRM data'!S61)</f>
        <v>0</v>
      </c>
      <c r="I59" s="584">
        <f>IF(G59="ok",'Raw FRM data'!S61,"")</f>
      </c>
      <c r="J59" s="569" t="b">
        <f>IF(G59="ok",'Raw candidate data'!P61)</f>
        <v>0</v>
      </c>
      <c r="K59" s="413">
        <f>IF(G59="ok",'Raw candidate data'!P61,"")</f>
      </c>
    </row>
    <row r="60" spans="2:11" ht="12.75" customHeight="1">
      <c r="B60" s="640"/>
      <c r="C60" s="495">
        <v>52</v>
      </c>
      <c r="D60" s="134">
        <f>IF(ISBLANK('Raw FRM data'!D62),"",'Raw FRM data'!D62)</f>
      </c>
      <c r="E60" s="499">
        <f>IF(G60="ok",'Raw FRM data'!N62,"")</f>
      </c>
      <c r="F60" s="499">
        <f>IF(G60="ok",'Raw candidate data'!N62,"")</f>
      </c>
      <c r="G60" s="146">
        <f>IF(AND('Raw FRM data'!O62="",'Raw candidate data'!O62=""),"",IF(AND('Raw FRM data'!O62="ok",'Raw candidate data'!O62="ok"),"ok","NOT VALID"))</f>
      </c>
      <c r="H60" s="576" t="b">
        <f>IF(G60="ok",'Raw FRM data'!S62)</f>
        <v>0</v>
      </c>
      <c r="I60" s="584">
        <f>IF(G60="ok",'Raw FRM data'!S62,"")</f>
      </c>
      <c r="J60" s="569" t="b">
        <f>IF(G60="ok",'Raw candidate data'!P62)</f>
        <v>0</v>
      </c>
      <c r="K60" s="413">
        <f>IF(G60="ok",'Raw candidate data'!P62,"")</f>
      </c>
    </row>
    <row r="61" spans="2:11" ht="12.75" customHeight="1">
      <c r="B61" s="640"/>
      <c r="C61" s="495">
        <v>53</v>
      </c>
      <c r="D61" s="134">
        <f>IF(ISBLANK('Raw FRM data'!D63),"",'Raw FRM data'!D63)</f>
      </c>
      <c r="E61" s="499">
        <f>IF(G61="ok",'Raw FRM data'!N63,"")</f>
      </c>
      <c r="F61" s="499">
        <f>IF(G61="ok",'Raw candidate data'!N63,"")</f>
      </c>
      <c r="G61" s="146">
        <f>IF(AND('Raw FRM data'!O63="",'Raw candidate data'!O63=""),"",IF(AND('Raw FRM data'!O63="ok",'Raw candidate data'!O63="ok"),"ok","NOT VALID"))</f>
      </c>
      <c r="H61" s="576" t="b">
        <f>IF(G61="ok",'Raw FRM data'!S63)</f>
        <v>0</v>
      </c>
      <c r="I61" s="584">
        <f>IF(G61="ok",'Raw FRM data'!S63,"")</f>
      </c>
      <c r="J61" s="569" t="b">
        <f>IF(G61="ok",'Raw candidate data'!P63)</f>
        <v>0</v>
      </c>
      <c r="K61" s="413">
        <f>IF(G61="ok",'Raw candidate data'!P63,"")</f>
      </c>
    </row>
    <row r="62" spans="2:11" ht="12.75" customHeight="1">
      <c r="B62" s="640"/>
      <c r="C62" s="495">
        <v>54</v>
      </c>
      <c r="D62" s="134">
        <f>IF(ISBLANK('Raw FRM data'!D64),"",'Raw FRM data'!D64)</f>
      </c>
      <c r="E62" s="499">
        <f>IF(G62="ok",'Raw FRM data'!N64,"")</f>
      </c>
      <c r="F62" s="499">
        <f>IF(G62="ok",'Raw candidate data'!N64,"")</f>
      </c>
      <c r="G62" s="146">
        <f>IF(AND('Raw FRM data'!O64="",'Raw candidate data'!O64=""),"",IF(AND('Raw FRM data'!O64="ok",'Raw candidate data'!O64="ok"),"ok","NOT VALID"))</f>
      </c>
      <c r="H62" s="576" t="b">
        <f>IF(G62="ok",'Raw FRM data'!S64)</f>
        <v>0</v>
      </c>
      <c r="I62" s="584">
        <f>IF(G62="ok",'Raw FRM data'!S64,"")</f>
      </c>
      <c r="J62" s="569" t="b">
        <f>IF(G62="ok",'Raw candidate data'!P64)</f>
        <v>0</v>
      </c>
      <c r="K62" s="413">
        <f>IF(G62="ok",'Raw candidate data'!P64,"")</f>
      </c>
    </row>
    <row r="63" spans="2:11" ht="12.75" customHeight="1">
      <c r="B63" s="640"/>
      <c r="C63" s="495">
        <v>55</v>
      </c>
      <c r="D63" s="134">
        <f>IF(ISBLANK('Raw FRM data'!D65),"",'Raw FRM data'!D65)</f>
      </c>
      <c r="E63" s="499">
        <f>IF(G63="ok",'Raw FRM data'!N65,"")</f>
      </c>
      <c r="F63" s="499">
        <f>IF(G63="ok",'Raw candidate data'!N65,"")</f>
      </c>
      <c r="G63" s="146">
        <f>IF(AND('Raw FRM data'!O65="",'Raw candidate data'!O65=""),"",IF(AND('Raw FRM data'!O65="ok",'Raw candidate data'!O65="ok"),"ok","NOT VALID"))</f>
      </c>
      <c r="H63" s="576" t="b">
        <f>IF(G63="ok",'Raw FRM data'!S65)</f>
        <v>0</v>
      </c>
      <c r="I63" s="584">
        <f>IF(G63="ok",'Raw FRM data'!S65,"")</f>
      </c>
      <c r="J63" s="569" t="b">
        <f>IF(G63="ok",'Raw candidate data'!P65)</f>
        <v>0</v>
      </c>
      <c r="K63" s="413">
        <f>IF(G63="ok",'Raw candidate data'!P65,"")</f>
      </c>
    </row>
    <row r="64" spans="2:11" ht="12.75" customHeight="1">
      <c r="B64" s="640"/>
      <c r="C64" s="495">
        <v>56</v>
      </c>
      <c r="D64" s="134">
        <f>IF(ISBLANK('Raw FRM data'!D66),"",'Raw FRM data'!D66)</f>
      </c>
      <c r="E64" s="499">
        <f>IF(G64="ok",'Raw FRM data'!N66,"")</f>
      </c>
      <c r="F64" s="499">
        <f>IF(G64="ok",'Raw candidate data'!N66,"")</f>
      </c>
      <c r="G64" s="146">
        <f>IF(AND('Raw FRM data'!O66="",'Raw candidate data'!O66=""),"",IF(AND('Raw FRM data'!O66="ok",'Raw candidate data'!O66="ok"),"ok","NOT VALID"))</f>
      </c>
      <c r="H64" s="576" t="b">
        <f>IF(G64="ok",'Raw FRM data'!S66)</f>
        <v>0</v>
      </c>
      <c r="I64" s="584">
        <f>IF(G64="ok",'Raw FRM data'!S66,"")</f>
      </c>
      <c r="J64" s="569" t="b">
        <f>IF(G64="ok",'Raw candidate data'!P66)</f>
        <v>0</v>
      </c>
      <c r="K64" s="413">
        <f>IF(G64="ok",'Raw candidate data'!P66,"")</f>
      </c>
    </row>
    <row r="65" spans="2:11" ht="12.75" customHeight="1">
      <c r="B65" s="640"/>
      <c r="C65" s="495">
        <v>57</v>
      </c>
      <c r="D65" s="134">
        <f>IF(ISBLANK('Raw FRM data'!D67),"",'Raw FRM data'!D67)</f>
      </c>
      <c r="E65" s="499">
        <f>IF(G65="ok",'Raw FRM data'!N67,"")</f>
      </c>
      <c r="F65" s="499">
        <f>IF(G65="ok",'Raw candidate data'!N67,"")</f>
      </c>
      <c r="G65" s="146">
        <f>IF(AND('Raw FRM data'!O67="",'Raw candidate data'!O67=""),"",IF(AND('Raw FRM data'!O67="ok",'Raw candidate data'!O67="ok"),"ok","NOT VALID"))</f>
      </c>
      <c r="H65" s="576" t="b">
        <f>IF(G65="ok",'Raw FRM data'!S67)</f>
        <v>0</v>
      </c>
      <c r="I65" s="584">
        <f>IF(G65="ok",'Raw FRM data'!S67,"")</f>
      </c>
      <c r="J65" s="569" t="b">
        <f>IF(G65="ok",'Raw candidate data'!P67)</f>
        <v>0</v>
      </c>
      <c r="K65" s="413">
        <f>IF(G65="ok",'Raw candidate data'!P67,"")</f>
      </c>
    </row>
    <row r="66" spans="2:11" ht="12.75" customHeight="1">
      <c r="B66" s="640"/>
      <c r="C66" s="495">
        <v>58</v>
      </c>
      <c r="D66" s="134">
        <f>IF(ISBLANK('Raw FRM data'!D68),"",'Raw FRM data'!D68)</f>
      </c>
      <c r="E66" s="499">
        <f>IF(G66="ok",'Raw FRM data'!N68,"")</f>
      </c>
      <c r="F66" s="499">
        <f>IF(G66="ok",'Raw candidate data'!N68,"")</f>
      </c>
      <c r="G66" s="146">
        <f>IF(AND('Raw FRM data'!O68="",'Raw candidate data'!O68=""),"",IF(AND('Raw FRM data'!O68="ok",'Raw candidate data'!O68="ok"),"ok","NOT VALID"))</f>
      </c>
      <c r="H66" s="576" t="b">
        <f>IF(G66="ok",'Raw FRM data'!S68)</f>
        <v>0</v>
      </c>
      <c r="I66" s="584">
        <f>IF(G66="ok",'Raw FRM data'!S68,"")</f>
      </c>
      <c r="J66" s="569" t="b">
        <f>IF(G66="ok",'Raw candidate data'!P68)</f>
        <v>0</v>
      </c>
      <c r="K66" s="413">
        <f>IF(G66="ok",'Raw candidate data'!P68,"")</f>
      </c>
    </row>
    <row r="67" spans="2:11" ht="12.75" customHeight="1">
      <c r="B67" s="640"/>
      <c r="C67" s="495">
        <v>59</v>
      </c>
      <c r="D67" s="134">
        <f>IF(ISBLANK('Raw FRM data'!D69),"",'Raw FRM data'!D69)</f>
      </c>
      <c r="E67" s="499">
        <f>IF(G67="ok",'Raw FRM data'!N69,"")</f>
      </c>
      <c r="F67" s="499">
        <f>IF(G67="ok",'Raw candidate data'!N69,"")</f>
      </c>
      <c r="G67" s="146">
        <f>IF(AND('Raw FRM data'!O69="",'Raw candidate data'!O69=""),"",IF(AND('Raw FRM data'!O69="ok",'Raw candidate data'!O69="ok"),"ok","NOT VALID"))</f>
      </c>
      <c r="H67" s="576" t="b">
        <f>IF(G67="ok",'Raw FRM data'!S69)</f>
        <v>0</v>
      </c>
      <c r="I67" s="584">
        <f>IF(G67="ok",'Raw FRM data'!S69,"")</f>
      </c>
      <c r="J67" s="569" t="b">
        <f>IF(G67="ok",'Raw candidate data'!P69)</f>
        <v>0</v>
      </c>
      <c r="K67" s="413">
        <f>IF(G67="ok",'Raw candidate data'!P69,"")</f>
      </c>
    </row>
    <row r="68" spans="2:11" ht="12.75" customHeight="1">
      <c r="B68" s="640"/>
      <c r="C68" s="495">
        <v>60</v>
      </c>
      <c r="D68" s="134">
        <f>IF(ISBLANK('Raw FRM data'!D70),"",'Raw FRM data'!D70)</f>
      </c>
      <c r="E68" s="499">
        <f>IF(G68="ok",'Raw FRM data'!N70,"")</f>
      </c>
      <c r="F68" s="499">
        <f>IF(G68="ok",'Raw candidate data'!N70,"")</f>
      </c>
      <c r="G68" s="146">
        <f>IF(AND('Raw FRM data'!O70="",'Raw candidate data'!O70=""),"",IF(AND('Raw FRM data'!O70="ok",'Raw candidate data'!O70="ok"),"ok","NOT VALID"))</f>
      </c>
      <c r="H68" s="576" t="b">
        <f>IF(G68="ok",'Raw FRM data'!S70)</f>
        <v>0</v>
      </c>
      <c r="I68" s="584">
        <f>IF(G68="ok",'Raw FRM data'!S70,"")</f>
      </c>
      <c r="J68" s="569" t="b">
        <f>IF(G68="ok",'Raw candidate data'!P70)</f>
        <v>0</v>
      </c>
      <c r="K68" s="413">
        <f>IF(G68="ok",'Raw candidate data'!P70,"")</f>
      </c>
    </row>
    <row r="69" spans="2:11" ht="12.75" customHeight="1">
      <c r="B69" s="640"/>
      <c r="C69" s="495">
        <v>61</v>
      </c>
      <c r="D69" s="134">
        <f>IF(ISBLANK('Raw FRM data'!D71),"",'Raw FRM data'!D71)</f>
      </c>
      <c r="E69" s="499">
        <f>IF(G69="ok",'Raw FRM data'!N71,"")</f>
      </c>
      <c r="F69" s="499">
        <f>IF(G69="ok",'Raw candidate data'!N71,"")</f>
      </c>
      <c r="G69" s="146">
        <f>IF(AND('Raw FRM data'!O71="",'Raw candidate data'!O71=""),"",IF(AND('Raw FRM data'!O71="ok",'Raw candidate data'!O71="ok"),"ok","NOT VALID"))</f>
      </c>
      <c r="H69" s="576" t="b">
        <f>IF(G69="ok",'Raw FRM data'!S71)</f>
        <v>0</v>
      </c>
      <c r="I69" s="584">
        <f>IF(G69="ok",'Raw FRM data'!S71,"")</f>
      </c>
      <c r="J69" s="569" t="b">
        <f>IF(G69="ok",'Raw candidate data'!P71)</f>
        <v>0</v>
      </c>
      <c r="K69" s="413">
        <f>IF(G69="ok",'Raw candidate data'!P71,"")</f>
      </c>
    </row>
    <row r="70" spans="2:11" ht="12.75" customHeight="1">
      <c r="B70" s="640"/>
      <c r="C70" s="495">
        <v>62</v>
      </c>
      <c r="D70" s="134">
        <f>IF(ISBLANK('Raw FRM data'!D72),"",'Raw FRM data'!D72)</f>
      </c>
      <c r="E70" s="499">
        <f>IF(G70="ok",'Raw FRM data'!N72,"")</f>
      </c>
      <c r="F70" s="499">
        <f>IF(G70="ok",'Raw candidate data'!N72,"")</f>
      </c>
      <c r="G70" s="146">
        <f>IF(AND('Raw FRM data'!O72="",'Raw candidate data'!O72=""),"",IF(AND('Raw FRM data'!O72="ok",'Raw candidate data'!O72="ok"),"ok","NOT VALID"))</f>
      </c>
      <c r="H70" s="576" t="b">
        <f>IF(G70="ok",'Raw FRM data'!S72)</f>
        <v>0</v>
      </c>
      <c r="I70" s="584">
        <f>IF(G70="ok",'Raw FRM data'!S72,"")</f>
      </c>
      <c r="J70" s="569" t="b">
        <f>IF(G70="ok",'Raw candidate data'!P72)</f>
        <v>0</v>
      </c>
      <c r="K70" s="413">
        <f>IF(G70="ok",'Raw candidate data'!P72,"")</f>
      </c>
    </row>
    <row r="71" spans="2:11" ht="12.75" customHeight="1">
      <c r="B71" s="640"/>
      <c r="C71" s="495">
        <v>63</v>
      </c>
      <c r="D71" s="134">
        <f>IF(ISBLANK('Raw FRM data'!D73),"",'Raw FRM data'!D73)</f>
      </c>
      <c r="E71" s="499">
        <f>IF(G71="ok",'Raw FRM data'!N73,"")</f>
      </c>
      <c r="F71" s="499">
        <f>IF(G71="ok",'Raw candidate data'!N73,"")</f>
      </c>
      <c r="G71" s="146">
        <f>IF(AND('Raw FRM data'!O73="",'Raw candidate data'!O73=""),"",IF(AND('Raw FRM data'!O73="ok",'Raw candidate data'!O73="ok"),"ok","NOT VALID"))</f>
      </c>
      <c r="H71" s="576" t="b">
        <f>IF(G71="ok",'Raw FRM data'!S73)</f>
        <v>0</v>
      </c>
      <c r="I71" s="584">
        <f>IF(G71="ok",'Raw FRM data'!S73,"")</f>
      </c>
      <c r="J71" s="569" t="b">
        <f>IF(G71="ok",'Raw candidate data'!P73)</f>
        <v>0</v>
      </c>
      <c r="K71" s="413">
        <f>IF(G71="ok",'Raw candidate data'!P73,"")</f>
      </c>
    </row>
    <row r="72" spans="2:11" ht="12.75" customHeight="1">
      <c r="B72" s="640"/>
      <c r="C72" s="495">
        <v>64</v>
      </c>
      <c r="D72" s="134">
        <f>IF(ISBLANK('Raw FRM data'!D74),"",'Raw FRM data'!D74)</f>
      </c>
      <c r="E72" s="499">
        <f>IF(G72="ok",'Raw FRM data'!N74,"")</f>
      </c>
      <c r="F72" s="499">
        <f>IF(G72="ok",'Raw candidate data'!N74,"")</f>
      </c>
      <c r="G72" s="146">
        <f>IF(AND('Raw FRM data'!O74="",'Raw candidate data'!O74=""),"",IF(AND('Raw FRM data'!O74="ok",'Raw candidate data'!O74="ok"),"ok","NOT VALID"))</f>
      </c>
      <c r="H72" s="576" t="b">
        <f>IF(G72="ok",'Raw FRM data'!S74)</f>
        <v>0</v>
      </c>
      <c r="I72" s="584">
        <f>IF(G72="ok",'Raw FRM data'!S74,"")</f>
      </c>
      <c r="J72" s="569" t="b">
        <f>IF(G72="ok",'Raw candidate data'!P74)</f>
        <v>0</v>
      </c>
      <c r="K72" s="413">
        <f>IF(G72="ok",'Raw candidate data'!P74,"")</f>
      </c>
    </row>
    <row r="73" spans="2:11" ht="12.75" customHeight="1">
      <c r="B73" s="640"/>
      <c r="C73" s="495">
        <v>65</v>
      </c>
      <c r="D73" s="134">
        <f>IF(ISBLANK('Raw FRM data'!D75),"",'Raw FRM data'!D75)</f>
      </c>
      <c r="E73" s="499">
        <f>IF(G73="ok",'Raw FRM data'!N75,"")</f>
      </c>
      <c r="F73" s="499">
        <f>IF(G73="ok",'Raw candidate data'!N75,"")</f>
      </c>
      <c r="G73" s="146">
        <f>IF(AND('Raw FRM data'!O75="",'Raw candidate data'!O75=""),"",IF(AND('Raw FRM data'!O75="ok",'Raw candidate data'!O75="ok"),"ok","NOT VALID"))</f>
      </c>
      <c r="H73" s="576" t="b">
        <f>IF(G73="ok",'Raw FRM data'!S75)</f>
        <v>0</v>
      </c>
      <c r="I73" s="584">
        <f>IF(G73="ok",'Raw FRM data'!S75,"")</f>
      </c>
      <c r="J73" s="569" t="b">
        <f>IF(G73="ok",'Raw candidate data'!P75)</f>
        <v>0</v>
      </c>
      <c r="K73" s="413">
        <f>IF(G73="ok",'Raw candidate data'!P75,"")</f>
      </c>
    </row>
    <row r="74" spans="2:11" ht="12.75" customHeight="1">
      <c r="B74" s="640"/>
      <c r="C74" s="495">
        <v>66</v>
      </c>
      <c r="D74" s="134">
        <f>IF(ISBLANK('Raw FRM data'!D76),"",'Raw FRM data'!D76)</f>
      </c>
      <c r="E74" s="499">
        <f>IF(G74="ok",'Raw FRM data'!N76,"")</f>
      </c>
      <c r="F74" s="499">
        <f>IF(G74="ok",'Raw candidate data'!N76,"")</f>
      </c>
      <c r="G74" s="146">
        <f>IF(AND('Raw FRM data'!O76="",'Raw candidate data'!O76=""),"",IF(AND('Raw FRM data'!O76="ok",'Raw candidate data'!O76="ok"),"ok","NOT VALID"))</f>
      </c>
      <c r="H74" s="576" t="b">
        <f>IF(G74="ok",'Raw FRM data'!S76)</f>
        <v>0</v>
      </c>
      <c r="I74" s="584">
        <f>IF(G74="ok",'Raw FRM data'!S76,"")</f>
      </c>
      <c r="J74" s="569" t="b">
        <f>IF(G74="ok",'Raw candidate data'!P76)</f>
        <v>0</v>
      </c>
      <c r="K74" s="413">
        <f>IF(G74="ok",'Raw candidate data'!P76,"")</f>
      </c>
    </row>
    <row r="75" spans="2:11" ht="12.75" customHeight="1">
      <c r="B75" s="640"/>
      <c r="C75" s="495">
        <v>67</v>
      </c>
      <c r="D75" s="134">
        <f>IF(ISBLANK('Raw FRM data'!D77),"",'Raw FRM data'!D77)</f>
      </c>
      <c r="E75" s="499">
        <f>IF(G75="ok",'Raw FRM data'!N77,"")</f>
      </c>
      <c r="F75" s="499">
        <f>IF(G75="ok",'Raw candidate data'!N77,"")</f>
      </c>
      <c r="G75" s="146">
        <f>IF(AND('Raw FRM data'!O77="",'Raw candidate data'!O77=""),"",IF(AND('Raw FRM data'!O77="ok",'Raw candidate data'!O77="ok"),"ok","NOT VALID"))</f>
      </c>
      <c r="H75" s="576" t="b">
        <f>IF(G75="ok",'Raw FRM data'!S77)</f>
        <v>0</v>
      </c>
      <c r="I75" s="584">
        <f>IF(G75="ok",'Raw FRM data'!S77,"")</f>
      </c>
      <c r="J75" s="569" t="b">
        <f>IF(G75="ok",'Raw candidate data'!P77)</f>
        <v>0</v>
      </c>
      <c r="K75" s="413">
        <f>IF(G75="ok",'Raw candidate data'!P77,"")</f>
      </c>
    </row>
    <row r="76" spans="2:11" ht="12.75">
      <c r="B76" s="640"/>
      <c r="C76" s="495">
        <v>68</v>
      </c>
      <c r="D76" s="134">
        <f>IF(ISBLANK('Raw FRM data'!D78),"",'Raw FRM data'!D78)</f>
      </c>
      <c r="E76" s="499">
        <f>IF(G76="ok",'Raw FRM data'!N78,"")</f>
      </c>
      <c r="F76" s="499">
        <f>IF(G76="ok",'Raw candidate data'!N78,"")</f>
      </c>
      <c r="G76" s="146">
        <f>IF(AND('Raw FRM data'!O78="",'Raw candidate data'!O78=""),"",IF(AND('Raw FRM data'!O78="ok",'Raw candidate data'!O78="ok"),"ok","NOT VALID"))</f>
      </c>
      <c r="H76" s="576" t="b">
        <f>IF(G76="ok",'Raw FRM data'!S78)</f>
        <v>0</v>
      </c>
      <c r="I76" s="584">
        <f>IF(G76="ok",'Raw FRM data'!S78,"")</f>
      </c>
      <c r="J76" s="569" t="b">
        <f>IF(G76="ok",'Raw candidate data'!P78)</f>
        <v>0</v>
      </c>
      <c r="K76" s="413">
        <f>IF(G76="ok",'Raw candidate data'!P78,"")</f>
      </c>
    </row>
    <row r="77" spans="2:11" ht="12.75">
      <c r="B77" s="640"/>
      <c r="C77" s="495">
        <v>69</v>
      </c>
      <c r="D77" s="134">
        <f>IF(ISBLANK('Raw FRM data'!D79),"",'Raw FRM data'!D79)</f>
      </c>
      <c r="E77" s="499">
        <f>IF(G77="ok",'Raw FRM data'!N79,"")</f>
      </c>
      <c r="F77" s="499">
        <f>IF(G77="ok",'Raw candidate data'!N79,"")</f>
      </c>
      <c r="G77" s="146">
        <f>IF(AND('Raw FRM data'!O79="",'Raw candidate data'!O79=""),"",IF(AND('Raw FRM data'!O79="ok",'Raw candidate data'!O79="ok"),"ok","NOT VALID"))</f>
      </c>
      <c r="H77" s="576" t="b">
        <f>IF(G77="ok",'Raw FRM data'!S79)</f>
        <v>0</v>
      </c>
      <c r="I77" s="584">
        <f>IF(G77="ok",'Raw FRM data'!S79,"")</f>
      </c>
      <c r="J77" s="569" t="b">
        <f>IF(G77="ok",'Raw candidate data'!P79)</f>
        <v>0</v>
      </c>
      <c r="K77" s="413">
        <f>IF(G77="ok",'Raw candidate data'!P79,"")</f>
      </c>
    </row>
    <row r="78" spans="2:11" ht="13.5" thickBot="1">
      <c r="B78" s="641"/>
      <c r="C78" s="497">
        <v>70</v>
      </c>
      <c r="D78" s="137">
        <f>IF(ISBLANK('Raw FRM data'!D80),"",'Raw FRM data'!D80)</f>
      </c>
      <c r="E78" s="197">
        <f>IF(G78="ok",'Raw FRM data'!N80,"")</f>
      </c>
      <c r="F78" s="197">
        <f>IF(G78="ok",'Raw candidate data'!N80,"")</f>
      </c>
      <c r="G78" s="575">
        <f>IF(AND('Raw FRM data'!O80="",'Raw candidate data'!O80=""),"",IF(AND('Raw FRM data'!O80="ok",'Raw candidate data'!O80="ok"),"ok","NOT VALID"))</f>
      </c>
      <c r="H78" s="580" t="b">
        <f>IF(G78="ok",'Raw FRM data'!S80)</f>
        <v>0</v>
      </c>
      <c r="I78" s="587">
        <f>IF(G78="ok",'Raw FRM data'!S80,"")</f>
      </c>
      <c r="J78" s="572" t="b">
        <f>IF(G78="ok",'Raw candidate data'!P80)</f>
        <v>0</v>
      </c>
      <c r="K78" s="416">
        <f>IF(G78="ok",'Raw candidate data'!P80,"")</f>
      </c>
    </row>
    <row r="79" spans="2:11" ht="11.25" customHeight="1" thickBot="1" thickTop="1">
      <c r="B79" s="359"/>
      <c r="C79" s="359"/>
      <c r="D79" s="359"/>
      <c r="E79" s="359"/>
      <c r="F79" s="359"/>
      <c r="G79" s="359"/>
      <c r="H79" s="359"/>
      <c r="I79" s="359"/>
      <c r="J79" s="359"/>
      <c r="K79" s="359"/>
    </row>
    <row r="80" spans="4:18" ht="19.5" customHeight="1" thickBot="1" thickTop="1">
      <c r="D80" s="426" t="s">
        <v>72</v>
      </c>
      <c r="E80" s="427"/>
      <c r="F80" s="427"/>
      <c r="G80" s="427"/>
      <c r="H80" s="427"/>
      <c r="I80" s="427"/>
      <c r="J80" s="427"/>
      <c r="K80" s="428">
        <f>IF(ISERROR(AVERAGE(I9:I78)),"",AVERAGE(I9:I78))</f>
        <v>28.288461538461544</v>
      </c>
      <c r="N80" s="210" t="s">
        <v>67</v>
      </c>
      <c r="O80" s="211"/>
      <c r="P80" s="212" t="s">
        <v>88</v>
      </c>
      <c r="Q80" s="212" t="s">
        <v>89</v>
      </c>
      <c r="R80" s="217" t="str">
        <f>"Correlation ("&amp;"r)"</f>
        <v>Correlation (r)</v>
      </c>
    </row>
    <row r="81" spans="4:18" ht="18" customHeight="1">
      <c r="D81" s="429" t="s">
        <v>71</v>
      </c>
      <c r="E81" s="430"/>
      <c r="F81" s="430"/>
      <c r="G81" s="430"/>
      <c r="H81" s="430"/>
      <c r="I81" s="431"/>
      <c r="J81" s="573"/>
      <c r="K81" s="432">
        <f>IF(ISERROR(AVERAGE(K9:K78)),"",AVERAGE(K9:K78))</f>
        <v>28.50769230769231</v>
      </c>
      <c r="N81" s="213" t="s">
        <v>84</v>
      </c>
      <c r="O81" s="203"/>
      <c r="P81" s="204">
        <f>IF(K83&gt;1,SLOPE(K9:K78,I9:I78),"")</f>
        <v>1.009247910069822</v>
      </c>
      <c r="Q81" s="204">
        <f>IF(K83&gt;1,INTERCEPT(K9:K78,I9:I78),"")</f>
        <v>-0.042378379090543206</v>
      </c>
      <c r="R81" s="219">
        <f>IF(ISERROR(CORREL(I9:I78,K9:K78)),"",CORREL(I9:I78,K9:K78))</f>
        <v>0.9965091310533021</v>
      </c>
    </row>
    <row r="82" spans="4:18" ht="17.25" customHeight="1">
      <c r="D82" s="200" t="s">
        <v>66</v>
      </c>
      <c r="E82" s="201"/>
      <c r="F82" s="201"/>
      <c r="G82" s="201"/>
      <c r="H82" s="201"/>
      <c r="I82" s="201"/>
      <c r="J82" s="201"/>
      <c r="K82" s="202">
        <f>IF(ISERROR(K81/K80),"",K81/K80)</f>
        <v>1.0077498300475864</v>
      </c>
      <c r="N82" s="417" t="s">
        <v>83</v>
      </c>
      <c r="O82" s="418" t="s">
        <v>85</v>
      </c>
      <c r="P82" s="241">
        <f>IF(AND(Title!G17="PM10-2.5",Title!G18="III"),1.12,IF(OR(ISBLANK(Title!G17),ISBLANK(Title!G18)),"",1.1))</f>
        <v>1.1</v>
      </c>
      <c r="Q82" s="241">
        <f>IF(P82="","",IF(Title!G17="PM2.5",IF(Title!G18="II",O$92,O$93),IF(Title!G18="II",O$94,O$95)))</f>
        <v>1.7279275870783515</v>
      </c>
      <c r="R82" s="243"/>
    </row>
    <row r="83" spans="4:18" ht="18" customHeight="1">
      <c r="D83" s="206" t="s">
        <v>150</v>
      </c>
      <c r="E83" s="205"/>
      <c r="F83" s="205"/>
      <c r="G83" s="205"/>
      <c r="H83" s="205"/>
      <c r="I83" s="205"/>
      <c r="J83" s="205"/>
      <c r="K83" s="207">
        <f>Precision!I82</f>
        <v>26</v>
      </c>
      <c r="N83" s="419" t="str">
        <f>Title!G17&amp;" Class "&amp;Title!G18</f>
        <v>PM2.5 Class III</v>
      </c>
      <c r="O83" s="420" t="s">
        <v>86</v>
      </c>
      <c r="P83" s="241">
        <f>IF(AND(Title!G17="PM10-2.5",Title!G18="III"),0.88,IF(OR(ISBLANK(Title!G17),ISBLANK(Title!G18)),"",0.9))</f>
        <v>0.9</v>
      </c>
      <c r="Q83" s="241">
        <f>IF(P82="","",IF(Title!G17="PM2.5",IF(Title!G18="II",P$92,P$93),IF(Title!G18="II",P$94,P$95)))</f>
        <v>-2</v>
      </c>
      <c r="R83" s="220">
        <f>IF(K83&lt;2,"",IF(K84&lt;=0.4,0.93,IF(K84&lt;0.5,0.2*K84+0.85,0.95)))</f>
        <v>0.949839239972756</v>
      </c>
    </row>
    <row r="84" spans="4:18" ht="16.5" customHeight="1" thickBot="1">
      <c r="D84" s="450" t="s">
        <v>149</v>
      </c>
      <c r="E84" s="208"/>
      <c r="F84" s="208"/>
      <c r="G84" s="208"/>
      <c r="H84" s="208"/>
      <c r="I84" s="208"/>
      <c r="J84" s="208"/>
      <c r="K84" s="209">
        <f>IF(ISERROR(STDEV(I9:I78)),"",STDEV(I9:I78)/K80)</f>
        <v>0.49919619986378005</v>
      </c>
      <c r="N84" s="214"/>
      <c r="O84" s="215" t="s">
        <v>87</v>
      </c>
      <c r="P84" s="216" t="str">
        <f>IF(OR(P81="",P82=""),"",IF(AND(P81&lt;P82,P81&gt;P83),"PASS","FAIL"))</f>
        <v>PASS</v>
      </c>
      <c r="Q84" s="216" t="str">
        <f>IF(OR(P81="",P82=""),"",IF(AND(Q81&lt;Q82,Q81&gt;Q83),"PASS","FAIL"))</f>
        <v>PASS</v>
      </c>
      <c r="R84" s="218" t="str">
        <f>IF(R83="","",IF(R81&gt;=R83,"PASS","FAIL"))</f>
        <v>PASS</v>
      </c>
    </row>
    <row r="85" ht="10.5" customHeight="1"/>
    <row r="86" ht="14.25" customHeight="1">
      <c r="N86" s="242" t="s">
        <v>90</v>
      </c>
    </row>
    <row r="87" ht="12.75" customHeight="1"/>
    <row r="88" ht="14.25" customHeight="1"/>
    <row r="89" ht="13.5" customHeight="1"/>
    <row r="90" ht="13.5" customHeight="1"/>
    <row r="91" spans="14:16" ht="13.5" customHeight="1" hidden="1">
      <c r="N91" s="234" t="s">
        <v>78</v>
      </c>
      <c r="O91" s="237" t="s">
        <v>69</v>
      </c>
      <c r="P91" s="238" t="s">
        <v>70</v>
      </c>
    </row>
    <row r="92" spans="14:16" ht="12.75" hidden="1">
      <c r="N92" s="235" t="s">
        <v>81</v>
      </c>
      <c r="O92" s="363">
        <f>IF(P81="","",IF((16.56-15.05*$P$81)&lt;=1.5,16.56-15.05*$P$81,1.5))</f>
        <v>1.3708189534491773</v>
      </c>
      <c r="P92" s="365">
        <f>IF(P81="","",IF((13.55-15.05*$P$81)&gt;=-1.5,13.55-15.05*$P$81,-1.5))</f>
        <v>-1.5</v>
      </c>
    </row>
    <row r="93" spans="14:16" ht="12.75" hidden="1">
      <c r="N93" s="235" t="s">
        <v>82</v>
      </c>
      <c r="O93" s="363">
        <f>IF(P81="","",IF((15.05-13.2*$P$81)&lt;=2,15.05-13.2*$P$81,2))</f>
        <v>1.7279275870783515</v>
      </c>
      <c r="P93" s="239">
        <f>IF(P81="","",IF((15.05-17.32*$P$81)&gt;=-2,15.05-17.32*$P$81,-2))</f>
        <v>-2</v>
      </c>
    </row>
    <row r="94" spans="14:16" ht="12.75" hidden="1">
      <c r="N94" s="235" t="s">
        <v>79</v>
      </c>
      <c r="O94" s="363">
        <f>IF(P81="","",IF((78.95-70.5*$P$81)&lt;=3.5,78.95-70.5*$P$81,3.5))</f>
        <v>3.5</v>
      </c>
      <c r="P94" s="239">
        <f>IF(P81="","",IF((62.05-70.5*$P$81)&gt;=-3.5,62.05-70.5*$P$81,-3.5))</f>
        <v>-3.5</v>
      </c>
    </row>
    <row r="95" spans="14:16" ht="13.5" hidden="1" thickBot="1">
      <c r="N95" s="236" t="s">
        <v>80</v>
      </c>
      <c r="O95" s="364">
        <f>IF(P81="","",IF((70.5-61.16*$P$81)&lt;=7,70.5-61.16*$P$81,7))</f>
        <v>7</v>
      </c>
      <c r="P95" s="240">
        <f>IF(P81="","",IF((70.5-82.93*$P$81)&gt;=-7,70.5-82.93*$P$81,-7))</f>
        <v>-7</v>
      </c>
    </row>
    <row r="96" ht="12.75" hidden="1"/>
  </sheetData>
  <sheetProtection sheet="1" objects="1" scenarios="1" selectLockedCells="1" autoFilter="0" selectUnlockedCells="1"/>
  <autoFilter ref="B8:K78"/>
  <mergeCells count="6">
    <mergeCell ref="B55:B78"/>
    <mergeCell ref="B9:B31"/>
    <mergeCell ref="I3:Q3"/>
    <mergeCell ref="I4:Q4"/>
    <mergeCell ref="I5:Q5"/>
    <mergeCell ref="B32:B54"/>
  </mergeCells>
  <printOptions/>
  <pageMargins left="0.75" right="0.75" top="0.52" bottom="0.48" header="0.5" footer="0.5"/>
  <pageSetup fitToHeight="1" fitToWidth="1" horizontalDpi="600" verticalDpi="600" orientation="portrait" scale="61"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I1" sqref="I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9:11" ht="18">
      <c r="I1" s="269" t="s">
        <v>99</v>
      </c>
      <c r="K1" s="451">
        <f>IF(OR(ISBLANK(Title!$G$17),ISBLANK(Title!$G$18),ISBLANK(Title!$G$23)),"Note: Necessary information is missing from Title sheet.","")</f>
      </c>
    </row>
    <row r="2" ht="13.5" thickBot="1"/>
    <row r="3" spans="3:15" ht="12.75">
      <c r="C3" s="9" t="s">
        <v>2</v>
      </c>
      <c r="D3" s="29"/>
      <c r="E3" s="625" t="str">
        <f>'Raw FRM data'!F5</f>
        <v>Example</v>
      </c>
      <c r="F3" s="644"/>
      <c r="G3" s="644"/>
      <c r="H3" s="644"/>
      <c r="I3" s="644"/>
      <c r="J3" s="644"/>
      <c r="K3" s="644"/>
      <c r="L3" s="626"/>
      <c r="M3" s="626"/>
      <c r="N3" s="626"/>
      <c r="O3" s="627"/>
    </row>
    <row r="4" spans="3:15" ht="12.75">
      <c r="C4" s="28" t="s">
        <v>7</v>
      </c>
      <c r="D4" s="30"/>
      <c r="E4" s="611" t="str">
        <f>'Raw FRM data'!F6</f>
        <v>ACME Model XYZ123 Air monitor - PM2.5 Class III</v>
      </c>
      <c r="F4" s="616"/>
      <c r="G4" s="616"/>
      <c r="H4" s="616"/>
      <c r="I4" s="616"/>
      <c r="J4" s="616"/>
      <c r="K4" s="616"/>
      <c r="L4" s="612"/>
      <c r="M4" s="612"/>
      <c r="N4" s="612"/>
      <c r="O4" s="613"/>
    </row>
    <row r="5" spans="3:15" ht="13.5" thickBot="1">
      <c r="C5" s="14" t="s">
        <v>6</v>
      </c>
      <c r="D5" s="31"/>
      <c r="E5" s="617" t="str">
        <f>'Raw FRM data'!F7</f>
        <v>St. Louis test site  -  (Site location  C )</v>
      </c>
      <c r="F5" s="618"/>
      <c r="G5" s="618"/>
      <c r="H5" s="618"/>
      <c r="I5" s="618"/>
      <c r="J5" s="618"/>
      <c r="K5" s="618"/>
      <c r="L5" s="619"/>
      <c r="M5" s="619"/>
      <c r="N5" s="619"/>
      <c r="O5" s="620"/>
    </row>
    <row r="6" ht="13.5" customHeight="1" thickBot="1"/>
    <row r="7" spans="3:11" ht="16.5" customHeight="1" thickBot="1">
      <c r="C7" s="340" t="s">
        <v>124</v>
      </c>
      <c r="D7" s="341"/>
      <c r="E7" s="341"/>
      <c r="F7" s="341"/>
      <c r="G7" s="341"/>
      <c r="H7" s="341"/>
      <c r="I7" s="341"/>
      <c r="J7" s="367"/>
      <c r="K7" s="342" t="s">
        <v>25</v>
      </c>
    </row>
    <row r="8" spans="3:11" ht="17.25" customHeight="1">
      <c r="C8" s="338" t="s">
        <v>125</v>
      </c>
      <c r="D8" s="339"/>
      <c r="E8" s="339"/>
      <c r="F8" s="339"/>
      <c r="G8" s="343"/>
      <c r="H8" s="339"/>
      <c r="I8" s="339"/>
      <c r="J8" s="368"/>
      <c r="K8" s="366">
        <f>Precision!O93</f>
        <v>26</v>
      </c>
    </row>
    <row r="9" spans="3:11" ht="16.5" customHeight="1">
      <c r="C9" s="421" t="str">
        <f>"Number of valid data sets required for Class "&amp;Title!$G$18&amp;", location "&amp;Title!$G$23&amp;":"</f>
        <v>Number of valid data sets required for Class III, location C:</v>
      </c>
      <c r="D9" s="281"/>
      <c r="E9" s="281"/>
      <c r="F9" s="281"/>
      <c r="G9" s="282"/>
      <c r="H9" s="281"/>
      <c r="I9" s="281"/>
      <c r="J9" s="275"/>
      <c r="K9" s="321">
        <f>Precision!O95</f>
        <v>23</v>
      </c>
    </row>
    <row r="10" spans="3:12" ht="16.5" customHeight="1">
      <c r="C10" s="283" t="s">
        <v>129</v>
      </c>
      <c r="D10" s="284"/>
      <c r="E10" s="284"/>
      <c r="F10" s="284"/>
      <c r="G10" s="285"/>
      <c r="H10" s="286"/>
      <c r="I10" s="281"/>
      <c r="J10" s="648" t="str">
        <f>IF(K9="","",IF(K8&gt;=K9,"OK   ","Insufficient"))</f>
        <v>OK   </v>
      </c>
      <c r="K10" s="649"/>
      <c r="L10" s="273"/>
    </row>
    <row r="11" spans="3:12" ht="16.5" customHeight="1" thickBot="1">
      <c r="C11" s="287" t="s">
        <v>74</v>
      </c>
      <c r="D11" s="288"/>
      <c r="E11" s="288"/>
      <c r="F11" s="288"/>
      <c r="G11" s="288"/>
      <c r="H11" s="288"/>
      <c r="I11" s="288"/>
      <c r="J11" s="276"/>
      <c r="K11" s="322" t="str">
        <f>IF(K9="","",IF(K9-K8&gt;0,K9-K8,"-- "))</f>
        <v>-- </v>
      </c>
      <c r="L11" s="273"/>
    </row>
    <row r="12" spans="4:6" ht="8.25" customHeight="1" thickBot="1">
      <c r="D12" s="274"/>
      <c r="E12" s="274"/>
      <c r="F12" s="274"/>
    </row>
    <row r="13" spans="3:12" ht="15" thickTop="1">
      <c r="C13" s="191"/>
      <c r="D13" s="34"/>
      <c r="E13" s="34"/>
      <c r="F13" s="121"/>
      <c r="G13" s="271" t="s">
        <v>51</v>
      </c>
      <c r="H13" s="270"/>
      <c r="I13" s="143" t="s">
        <v>52</v>
      </c>
      <c r="J13" s="38"/>
      <c r="K13" s="277" t="s">
        <v>53</v>
      </c>
      <c r="L13" s="278"/>
    </row>
    <row r="14" spans="3:12" ht="16.5" thickBot="1">
      <c r="C14" s="337" t="s">
        <v>13</v>
      </c>
      <c r="D14" s="159"/>
      <c r="E14" s="159"/>
      <c r="F14" s="160"/>
      <c r="G14" s="140" t="s">
        <v>48</v>
      </c>
      <c r="H14" s="45" t="s">
        <v>49</v>
      </c>
      <c r="I14" s="140" t="s">
        <v>48</v>
      </c>
      <c r="J14" s="45" t="s">
        <v>49</v>
      </c>
      <c r="K14" s="279" t="s">
        <v>48</v>
      </c>
      <c r="L14" s="280" t="s">
        <v>49</v>
      </c>
    </row>
    <row r="15" spans="3:12" ht="12.75">
      <c r="C15" s="194"/>
      <c r="D15" s="157"/>
      <c r="E15" s="157"/>
      <c r="F15" s="244" t="s">
        <v>55</v>
      </c>
      <c r="G15" s="323">
        <f>Precision!I83</f>
        <v>28.288461538461544</v>
      </c>
      <c r="H15" s="324">
        <f>Precision!J83</f>
        <v>28.50769230769231</v>
      </c>
      <c r="I15" s="323">
        <f>Precision!K83</f>
        <v>0.7807517381534422</v>
      </c>
      <c r="J15" s="325">
        <f>Precision!L83</f>
        <v>1.6562910445269015</v>
      </c>
      <c r="K15" s="246">
        <f>Precision!M83</f>
        <v>0.036890266119702406</v>
      </c>
      <c r="L15" s="247">
        <f>Precision!O83</f>
        <v>0.08836773250307858</v>
      </c>
    </row>
    <row r="16" spans="3:12" ht="12.75">
      <c r="C16" s="194"/>
      <c r="D16" s="157"/>
      <c r="E16" s="157"/>
      <c r="F16" s="156" t="s">
        <v>57</v>
      </c>
      <c r="G16" s="326">
        <f>Precision!I84</f>
        <v>48.5</v>
      </c>
      <c r="H16" s="327">
        <f>Precision!J84</f>
        <v>48.833333333333336</v>
      </c>
      <c r="I16" s="326">
        <f>Precision!K84</f>
        <v>1.193035344544867</v>
      </c>
      <c r="J16" s="328">
        <f>Precision!L84</f>
        <v>2.6159765544311293</v>
      </c>
      <c r="K16" s="167">
        <f>Precision!M84</f>
        <v>0.08313492035339039</v>
      </c>
      <c r="L16" s="168">
        <f>Precision!O84</f>
        <v>0.38974670880887285</v>
      </c>
    </row>
    <row r="17" spans="3:12" ht="12.75">
      <c r="C17" s="193"/>
      <c r="D17" s="186"/>
      <c r="E17" s="186"/>
      <c r="F17" s="155" t="s">
        <v>56</v>
      </c>
      <c r="G17" s="329">
        <f>Precision!I85</f>
        <v>7.15</v>
      </c>
      <c r="H17" s="330">
        <f>Precision!J85</f>
        <v>5.800000000000001</v>
      </c>
      <c r="I17" s="329">
        <f>Precision!K85</f>
        <v>0.21213203435593478</v>
      </c>
      <c r="J17" s="331">
        <f>Precision!L85</f>
        <v>0.4582575694956547</v>
      </c>
      <c r="K17" s="174">
        <f>Precision!M85</f>
        <v>0.00992555831266468</v>
      </c>
      <c r="L17" s="175">
        <f>Precision!O85</f>
        <v>0.018008006487987543</v>
      </c>
    </row>
    <row r="18" spans="3:12" ht="13.5" thickBot="1">
      <c r="C18" s="195"/>
      <c r="D18" s="176"/>
      <c r="E18" s="176"/>
      <c r="F18" s="176" t="s">
        <v>130</v>
      </c>
      <c r="G18" s="332"/>
      <c r="H18" s="333">
        <f>IF(OR(H15="",G15=""),"",H15/G15)</f>
        <v>1.0077498300475864</v>
      </c>
      <c r="I18" s="334"/>
      <c r="J18" s="333">
        <f>IF(OR(J15="",I15=""),"",J15/I15)</f>
        <v>2.121405516744925</v>
      </c>
      <c r="K18" s="179"/>
      <c r="L18" s="180">
        <f>IF(OR(L15="",K15=""),"",L15/K15)</f>
        <v>2.395421388838478</v>
      </c>
    </row>
    <row r="19" spans="7:12" ht="16.5" thickTop="1">
      <c r="G19" s="362" t="s">
        <v>135</v>
      </c>
      <c r="H19" s="304"/>
      <c r="I19" s="304"/>
      <c r="J19" s="304"/>
      <c r="K19" s="305">
        <f>Precision!M89</f>
        <v>0.04356989240884721</v>
      </c>
      <c r="L19" s="306">
        <f>Precision!O89</f>
        <v>0.1222614291222388</v>
      </c>
    </row>
    <row r="20" spans="7:12" ht="15.75">
      <c r="G20" s="650" t="str">
        <f>"  "&amp;Precision!I90&amp;":"</f>
        <v>  Test requirements - PM2.5 Class III:</v>
      </c>
      <c r="H20" s="651"/>
      <c r="I20" s="651"/>
      <c r="J20" s="652"/>
      <c r="K20" s="307">
        <v>0.1</v>
      </c>
      <c r="L20" s="308">
        <f>Precision!O90</f>
        <v>0.15</v>
      </c>
    </row>
    <row r="21" spans="7:12" ht="16.5" thickBot="1">
      <c r="G21" s="309" t="s">
        <v>136</v>
      </c>
      <c r="H21" s="310"/>
      <c r="I21" s="310"/>
      <c r="J21" s="310"/>
      <c r="K21" s="311" t="str">
        <f>Precision!M91</f>
        <v> OK</v>
      </c>
      <c r="L21" s="312" t="str">
        <f>Precision!O91</f>
        <v>PASS</v>
      </c>
    </row>
    <row r="22" ht="9" customHeight="1" thickBot="1" thickTop="1"/>
    <row r="23" spans="3:10" ht="16.5" thickBot="1">
      <c r="C23" s="653" t="s">
        <v>67</v>
      </c>
      <c r="D23" s="654"/>
      <c r="E23" s="654"/>
      <c r="F23" s="654"/>
      <c r="G23" s="655"/>
      <c r="H23" s="300" t="s">
        <v>100</v>
      </c>
      <c r="I23" s="289" t="s">
        <v>101</v>
      </c>
      <c r="J23" s="290" t="str">
        <f>"Correlation ("&amp;"r)"</f>
        <v>Correlation (r)</v>
      </c>
    </row>
    <row r="24" spans="3:10" ht="15.75">
      <c r="C24" s="298" t="s">
        <v>84</v>
      </c>
      <c r="D24" s="299"/>
      <c r="E24" s="272"/>
      <c r="F24" s="272"/>
      <c r="G24" s="186"/>
      <c r="H24" s="301">
        <f>Regression!P81</f>
        <v>1.009247910069822</v>
      </c>
      <c r="I24" s="291">
        <f>Regression!Q81</f>
        <v>-0.042378379090543206</v>
      </c>
      <c r="J24" s="292">
        <f>Regression!R81</f>
        <v>0.9965091310533021</v>
      </c>
    </row>
    <row r="25" spans="3:10" ht="15.75">
      <c r="C25" s="659" t="s">
        <v>83</v>
      </c>
      <c r="D25" s="657"/>
      <c r="E25" s="657"/>
      <c r="F25" s="658"/>
      <c r="G25" s="422" t="s">
        <v>85</v>
      </c>
      <c r="H25" s="302">
        <f>Regression!P82</f>
        <v>1.1</v>
      </c>
      <c r="I25" s="293">
        <f>Regression!Q82</f>
        <v>1.7279275870783515</v>
      </c>
      <c r="J25" s="294"/>
    </row>
    <row r="26" spans="3:10" ht="15.75">
      <c r="C26" s="656" t="str">
        <f>Regression!N83</f>
        <v>PM2.5 Class III</v>
      </c>
      <c r="D26" s="657"/>
      <c r="E26" s="657"/>
      <c r="F26" s="658"/>
      <c r="G26" s="423" t="s">
        <v>86</v>
      </c>
      <c r="H26" s="302">
        <f>Regression!P83</f>
        <v>0.9</v>
      </c>
      <c r="I26" s="293">
        <f>Regression!Q83</f>
        <v>-2</v>
      </c>
      <c r="J26" s="295">
        <f>Regression!R83</f>
        <v>0.949839239972756</v>
      </c>
    </row>
    <row r="27" spans="3:10" ht="16.5" thickBot="1">
      <c r="C27" s="646" t="s">
        <v>87</v>
      </c>
      <c r="D27" s="647"/>
      <c r="E27" s="647"/>
      <c r="F27" s="647"/>
      <c r="G27" s="647"/>
      <c r="H27" s="303" t="str">
        <f>Regression!P84</f>
        <v>PASS</v>
      </c>
      <c r="I27" s="296" t="str">
        <f>Regression!Q84</f>
        <v>PASS</v>
      </c>
      <c r="J27" s="297" t="str">
        <f>Regression!R84</f>
        <v>PASS</v>
      </c>
    </row>
    <row r="28" ht="14.25">
      <c r="H28" s="242" t="s">
        <v>90</v>
      </c>
    </row>
    <row r="51" ht="12.75">
      <c r="C51" s="344" t="s">
        <v>109</v>
      </c>
    </row>
    <row r="52" ht="12.75">
      <c r="C52" s="344" t="s">
        <v>110</v>
      </c>
    </row>
    <row r="66" ht="12.75">
      <c r="G66" t="s">
        <v>154</v>
      </c>
    </row>
    <row r="68" spans="3:17" ht="12.75">
      <c r="C68" t="s">
        <v>126</v>
      </c>
      <c r="G68" s="317" t="s">
        <v>123</v>
      </c>
      <c r="H68" s="318" t="s">
        <v>102</v>
      </c>
      <c r="I68" s="318"/>
      <c r="J68" s="318" t="s">
        <v>103</v>
      </c>
      <c r="K68" s="318"/>
      <c r="L68" s="318" t="s">
        <v>105</v>
      </c>
      <c r="M68" s="318"/>
      <c r="N68" s="318" t="s">
        <v>104</v>
      </c>
      <c r="O68" s="318"/>
      <c r="P68" s="319" t="s">
        <v>112</v>
      </c>
      <c r="Q68" s="320"/>
    </row>
    <row r="69" spans="3:17" ht="12.75">
      <c r="C69" s="315" t="s">
        <v>106</v>
      </c>
      <c r="D69" s="315" t="str">
        <f>Title!G17</f>
        <v>PM2.5</v>
      </c>
      <c r="G69" s="317" t="s">
        <v>111</v>
      </c>
      <c r="H69" s="317" t="s">
        <v>113</v>
      </c>
      <c r="I69" s="317" t="s">
        <v>114</v>
      </c>
      <c r="J69" s="317" t="s">
        <v>115</v>
      </c>
      <c r="K69" s="317" t="s">
        <v>116</v>
      </c>
      <c r="L69" s="317" t="s">
        <v>117</v>
      </c>
      <c r="M69" s="317" t="s">
        <v>118</v>
      </c>
      <c r="N69" s="317" t="s">
        <v>119</v>
      </c>
      <c r="O69" s="317" t="s">
        <v>120</v>
      </c>
      <c r="P69" s="317" t="s">
        <v>107</v>
      </c>
      <c r="Q69" s="317" t="s">
        <v>108</v>
      </c>
    </row>
    <row r="70" spans="3:17" ht="12.75">
      <c r="C70" s="315" t="s">
        <v>106</v>
      </c>
      <c r="D70" s="315" t="str">
        <f>IF(D69="PM10-2.5","PMc",D69)</f>
        <v>PM2.5</v>
      </c>
      <c r="G70" s="315">
        <v>1</v>
      </c>
      <c r="H70" s="315">
        <v>0.9</v>
      </c>
      <c r="I70" s="315">
        <v>1.5</v>
      </c>
      <c r="J70" s="315">
        <v>0.9</v>
      </c>
      <c r="K70" s="315">
        <v>2</v>
      </c>
      <c r="L70" s="315">
        <v>0.9</v>
      </c>
      <c r="M70" s="315">
        <v>3.5</v>
      </c>
      <c r="N70" s="315">
        <v>0.88</v>
      </c>
      <c r="O70" s="315">
        <v>7</v>
      </c>
      <c r="P70" s="336">
        <f>HLOOKUP($D$72&amp;"S",$H$69:$O$76,2,FALSE)</f>
        <v>0.9</v>
      </c>
      <c r="Q70" s="336">
        <f>HLOOKUP($D$72&amp;"I",$H$69:$O$76,2,FALSE)</f>
        <v>2</v>
      </c>
    </row>
    <row r="71" spans="3:17" ht="12.75">
      <c r="C71" s="315" t="s">
        <v>121</v>
      </c>
      <c r="D71" s="315" t="str">
        <f>Title!G18</f>
        <v>III</v>
      </c>
      <c r="G71" s="315">
        <v>2</v>
      </c>
      <c r="H71" s="315">
        <f>(16.56-1.5)/15.05</f>
        <v>1.0006644518272423</v>
      </c>
      <c r="I71" s="315">
        <v>1.5</v>
      </c>
      <c r="J71" s="315">
        <f>(15.05-2)/13.2</f>
        <v>0.9886363636363638</v>
      </c>
      <c r="K71" s="315">
        <v>2</v>
      </c>
      <c r="L71" s="315">
        <f>(78.95-3.5)/70.5</f>
        <v>1.0702127659574467</v>
      </c>
      <c r="M71" s="315">
        <v>3.5</v>
      </c>
      <c r="N71" s="315">
        <f>(70.5-7)/61.16</f>
        <v>1.038260300850229</v>
      </c>
      <c r="O71" s="315">
        <v>7</v>
      </c>
      <c r="P71" s="336">
        <f>HLOOKUP($D$72&amp;"S",$H$69:$O$76,3,FALSE)</f>
        <v>0.9886363636363638</v>
      </c>
      <c r="Q71" s="336">
        <f>HLOOKUP($D$72&amp;"I",$H$69:$O$76,3,FALSE)</f>
        <v>2</v>
      </c>
    </row>
    <row r="72" spans="3:17" ht="12.75">
      <c r="C72" s="315" t="s">
        <v>122</v>
      </c>
      <c r="D72" s="315" t="str">
        <f>D70&amp;"-"&amp;D71&amp;"-"</f>
        <v>PM2.5-III-</v>
      </c>
      <c r="G72" s="315">
        <v>3</v>
      </c>
      <c r="H72" s="315">
        <v>1.1</v>
      </c>
      <c r="I72" s="315">
        <f>16.56-15.05*H72</f>
        <v>0.0049999999999954525</v>
      </c>
      <c r="J72" s="315">
        <v>1.1</v>
      </c>
      <c r="K72" s="315">
        <f>15.05-13.2*J72</f>
        <v>0.5300000000000011</v>
      </c>
      <c r="L72" s="315">
        <v>1.1</v>
      </c>
      <c r="M72" s="315">
        <f>78.95-70.5*L72</f>
        <v>1.3999999999999915</v>
      </c>
      <c r="N72" s="315">
        <v>1.12</v>
      </c>
      <c r="O72" s="335">
        <f>70.5-61.16*N72</f>
        <v>2.000799999999998</v>
      </c>
      <c r="P72" s="336">
        <f>HLOOKUP($D$72&amp;"S",$H$69:$O$76,4,FALSE)</f>
        <v>1.1</v>
      </c>
      <c r="Q72" s="336">
        <f>HLOOKUP($D$72&amp;"I",$H$69:$O$76,4,FALSE)</f>
        <v>0.5300000000000011</v>
      </c>
    </row>
    <row r="73" spans="7:17" ht="12.75">
      <c r="G73" s="315">
        <v>4</v>
      </c>
      <c r="H73" s="315">
        <v>1.1</v>
      </c>
      <c r="I73" s="315">
        <v>-1.5</v>
      </c>
      <c r="J73" s="315">
        <v>1.1</v>
      </c>
      <c r="K73" s="315">
        <v>-2</v>
      </c>
      <c r="L73" s="315">
        <v>1.1</v>
      </c>
      <c r="M73" s="315">
        <v>-3.5</v>
      </c>
      <c r="N73" s="315">
        <v>1.12</v>
      </c>
      <c r="O73" s="315">
        <v>-7</v>
      </c>
      <c r="P73" s="336">
        <f>HLOOKUP($D$72&amp;"S",$H$69:$O$76,5,FALSE)</f>
        <v>1.1</v>
      </c>
      <c r="Q73" s="336">
        <f>HLOOKUP($D$72&amp;"I",$H$69:$O$76,5,FALSE)</f>
        <v>-2</v>
      </c>
    </row>
    <row r="74" spans="7:17" ht="12.75">
      <c r="G74" s="315">
        <v>5</v>
      </c>
      <c r="H74" s="315">
        <f>(1.5+13.55)/15.06</f>
        <v>0.99933598937583</v>
      </c>
      <c r="I74" s="315">
        <v>-1.5</v>
      </c>
      <c r="J74" s="315">
        <f>(2+15.05)/17.32</f>
        <v>0.9844110854503464</v>
      </c>
      <c r="K74" s="315">
        <v>-2</v>
      </c>
      <c r="L74" s="315">
        <f>(3.5+62.05)/70.5</f>
        <v>0.9297872340425531</v>
      </c>
      <c r="M74" s="315">
        <v>-3.5</v>
      </c>
      <c r="N74" s="315">
        <f>(7+70.5)/82.93</f>
        <v>0.9345230917641384</v>
      </c>
      <c r="O74" s="315">
        <v>-7</v>
      </c>
      <c r="P74" s="336">
        <f>HLOOKUP($D$72&amp;"S",$H$69:$O$76,6,FALSE)</f>
        <v>0.9844110854503464</v>
      </c>
      <c r="Q74" s="336">
        <f>HLOOKUP($D$72&amp;"I",$H$69:$O$76,6,FALSE)</f>
        <v>-2</v>
      </c>
    </row>
    <row r="75" spans="7:17" ht="12.75">
      <c r="G75" s="316">
        <v>6</v>
      </c>
      <c r="H75" s="316">
        <v>0.9</v>
      </c>
      <c r="I75" s="315">
        <f>13.55-15.06*H75</f>
        <v>-0.0039999999999995595</v>
      </c>
      <c r="J75" s="315">
        <v>0.9</v>
      </c>
      <c r="K75" s="315">
        <f>15.05-17.32*J75</f>
        <v>-0.5380000000000003</v>
      </c>
      <c r="L75" s="315">
        <v>0.9</v>
      </c>
      <c r="M75" s="315">
        <f>62.05-70.5*L75</f>
        <v>-1.4000000000000057</v>
      </c>
      <c r="N75" s="315">
        <v>0.88</v>
      </c>
      <c r="O75" s="315">
        <f>70.5-82.93*N75</f>
        <v>-2.4784000000000077</v>
      </c>
      <c r="P75" s="336">
        <f>HLOOKUP($D$72&amp;"S",$H$69:$O$76,7,FALSE)</f>
        <v>0.9</v>
      </c>
      <c r="Q75" s="336">
        <f>HLOOKUP($D$72&amp;"I",$H$69:$O$76,7,FALSE)</f>
        <v>-0.5380000000000003</v>
      </c>
    </row>
    <row r="76" spans="7:17" ht="12.75">
      <c r="G76" s="316">
        <v>7</v>
      </c>
      <c r="H76" s="316">
        <v>0.9</v>
      </c>
      <c r="I76" s="315">
        <v>1.5</v>
      </c>
      <c r="J76" s="315">
        <v>0.9</v>
      </c>
      <c r="K76" s="315">
        <v>2</v>
      </c>
      <c r="L76" s="315">
        <v>0.9</v>
      </c>
      <c r="M76" s="315">
        <v>3.5</v>
      </c>
      <c r="N76" s="315">
        <v>0.88</v>
      </c>
      <c r="O76" s="315">
        <v>7</v>
      </c>
      <c r="P76" s="336">
        <f>HLOOKUP($D$72&amp;"S",$H$69:$O$76,8,FALSE)</f>
        <v>0.9</v>
      </c>
      <c r="Q76" s="336">
        <f>HLOOKUP($D$72&amp;"I",$H$69:$O$76,8,FALSE)</f>
        <v>2</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2007-05-02T14:56:16Z</cp:lastPrinted>
  <dcterms:created xsi:type="dcterms:W3CDTF">2006-10-11T19:18:36Z</dcterms:created>
  <dcterms:modified xsi:type="dcterms:W3CDTF">2007-05-02T14:57:20Z</dcterms:modified>
  <cp:category/>
  <cp:version/>
  <cp:contentType/>
  <cp:contentStatus/>
</cp:coreProperties>
</file>